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agriculteursmethaniseurs-my.sharepoint.com/personal/adain_aamf_fr/Documents/Documents/AAMF/Commissions AAMF/C°_V_B/11. T-É/€cométha/Traitement 2025/Envoi 2025/"/>
    </mc:Choice>
  </mc:AlternateContent>
  <xr:revisionPtr revIDLastSave="0" documentId="8_{3EF94A32-2FC0-4BEE-AA16-0FE98831E674}" xr6:coauthVersionLast="47" xr6:coauthVersionMax="47" xr10:uidLastSave="{00000000-0000-0000-0000-000000000000}"/>
  <bookViews>
    <workbookView xWindow="-108" yWindow="-108" windowWidth="23256" windowHeight="12456" tabRatio="662" activeTab="1" xr2:uid="{00000000-000D-0000-FFFF-FFFF00000000}"/>
  </bookViews>
  <sheets>
    <sheet name="2024" sheetId="17" r:id="rId1"/>
    <sheet name="Simulation conversion" sheetId="21" r:id="rId2"/>
    <sheet name="2021" sheetId="22" r:id="rId3"/>
    <sheet name="Comparaison interannuelle" sheetId="15" r:id="rId4"/>
    <sheet name="À copier" sheetId="23" r:id="rId5"/>
  </sheets>
  <definedNames>
    <definedName name="_xlnm.Print_Titles" localSheetId="2">'2021'!$1:$2</definedName>
    <definedName name="_xlnm.Print_Titles" localSheetId="0">'2024'!$1:$2</definedName>
    <definedName name="_xlnm.Print_Titles" localSheetId="4">'À copier'!$1:$2</definedName>
    <definedName name="_xlnm.Print_Area" localSheetId="2">'2021'!$A$1:$N$139</definedName>
    <definedName name="_xlnm.Print_Area" localSheetId="0">'2024'!$A$1:$N$139</definedName>
    <definedName name="_xlnm.Print_Area" localSheetId="4">'À copier'!$A$1:$N$139</definedName>
    <definedName name="_xlnm.Print_Area" localSheetId="3">'Comparaison interannuelle'!$A$1:$O$89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21" l="1"/>
  <c r="P28" i="21"/>
  <c r="P4" i="21"/>
  <c r="C19" i="21"/>
  <c r="C31" i="21"/>
  <c r="AC134" i="23"/>
  <c r="C131" i="23"/>
  <c r="D130" i="23" s="1"/>
  <c r="K128" i="23"/>
  <c r="G128" i="23"/>
  <c r="K127" i="23"/>
  <c r="J127" i="23"/>
  <c r="G127" i="23"/>
  <c r="I126" i="23"/>
  <c r="G126" i="23"/>
  <c r="I125" i="23"/>
  <c r="G125" i="23"/>
  <c r="I124" i="23"/>
  <c r="G124" i="23"/>
  <c r="I123" i="23"/>
  <c r="G123" i="23"/>
  <c r="I122" i="23"/>
  <c r="G122" i="23"/>
  <c r="I121" i="23"/>
  <c r="G121" i="23"/>
  <c r="D120" i="23"/>
  <c r="J115" i="23"/>
  <c r="I115" i="23"/>
  <c r="H126" i="23" s="1"/>
  <c r="J114" i="23"/>
  <c r="I114" i="23"/>
  <c r="H125" i="23" s="1"/>
  <c r="B114" i="23"/>
  <c r="I113" i="23"/>
  <c r="H124" i="23" s="1"/>
  <c r="D113" i="23"/>
  <c r="B113" i="23"/>
  <c r="I112" i="23"/>
  <c r="D112" i="23"/>
  <c r="I111" i="23"/>
  <c r="J110" i="23"/>
  <c r="I110" i="23"/>
  <c r="H123" i="23" s="1"/>
  <c r="J109" i="23"/>
  <c r="I109" i="23"/>
  <c r="H122" i="23" s="1"/>
  <c r="J108" i="23"/>
  <c r="J116" i="23" s="1"/>
  <c r="I108" i="23"/>
  <c r="H121" i="23" s="1"/>
  <c r="D107" i="23"/>
  <c r="B101" i="23"/>
  <c r="B100" i="23"/>
  <c r="B99" i="23"/>
  <c r="C98" i="23"/>
  <c r="J95" i="23" s="1"/>
  <c r="B98" i="23"/>
  <c r="J97" i="23"/>
  <c r="L96" i="23"/>
  <c r="J96" i="23"/>
  <c r="B96" i="23"/>
  <c r="B95" i="23"/>
  <c r="J94" i="23"/>
  <c r="G94" i="23"/>
  <c r="B94" i="23"/>
  <c r="B93" i="23"/>
  <c r="C90" i="23"/>
  <c r="C86" i="23"/>
  <c r="J113" i="23" s="1"/>
  <c r="I84" i="23"/>
  <c r="I82" i="23"/>
  <c r="I80" i="23"/>
  <c r="G75" i="23"/>
  <c r="G74" i="23"/>
  <c r="C74" i="23"/>
  <c r="G71" i="23"/>
  <c r="C70" i="23"/>
  <c r="C75" i="23" s="1"/>
  <c r="B69" i="23"/>
  <c r="G68" i="23"/>
  <c r="B68" i="23"/>
  <c r="G67" i="23"/>
  <c r="B67" i="23"/>
  <c r="G66" i="23"/>
  <c r="C66" i="23"/>
  <c r="B65" i="23"/>
  <c r="B64" i="23"/>
  <c r="I63" i="23"/>
  <c r="B63" i="23"/>
  <c r="J62" i="23"/>
  <c r="I62" i="23"/>
  <c r="B62" i="23"/>
  <c r="B61" i="23"/>
  <c r="L58" i="23"/>
  <c r="C58" i="23"/>
  <c r="L57" i="23"/>
  <c r="C52" i="23"/>
  <c r="K48" i="23"/>
  <c r="J48" i="23"/>
  <c r="I48" i="23"/>
  <c r="B48" i="23"/>
  <c r="I46" i="23"/>
  <c r="C45" i="23"/>
  <c r="J58" i="23" s="1"/>
  <c r="G44" i="23"/>
  <c r="G43" i="23"/>
  <c r="B43" i="23"/>
  <c r="G42" i="23"/>
  <c r="B41" i="23"/>
  <c r="G41" i="23" s="1"/>
  <c r="G40" i="23"/>
  <c r="B40" i="23"/>
  <c r="G39" i="23"/>
  <c r="I38" i="23"/>
  <c r="G38" i="23"/>
  <c r="G37" i="23"/>
  <c r="I36" i="23"/>
  <c r="G36" i="23"/>
  <c r="G35" i="23"/>
  <c r="D24" i="23"/>
  <c r="B24" i="23"/>
  <c r="D23" i="23"/>
  <c r="B23" i="23"/>
  <c r="Y22" i="23"/>
  <c r="Y21" i="23"/>
  <c r="Y20" i="23"/>
  <c r="Y19" i="23"/>
  <c r="Y18" i="23"/>
  <c r="AC134" i="22"/>
  <c r="C131" i="22"/>
  <c r="D130" i="22" s="1"/>
  <c r="K128" i="22"/>
  <c r="G128" i="22"/>
  <c r="K127" i="22"/>
  <c r="J127" i="22"/>
  <c r="G127" i="22"/>
  <c r="I126" i="22"/>
  <c r="G126" i="22"/>
  <c r="I125" i="22"/>
  <c r="G125" i="22"/>
  <c r="I124" i="22"/>
  <c r="G124" i="22"/>
  <c r="I123" i="22"/>
  <c r="G123" i="22"/>
  <c r="I122" i="22"/>
  <c r="G122" i="22"/>
  <c r="I121" i="22"/>
  <c r="G121" i="22"/>
  <c r="D120" i="22"/>
  <c r="J115" i="22"/>
  <c r="I115" i="22"/>
  <c r="H126" i="22" s="1"/>
  <c r="J114" i="22"/>
  <c r="I114" i="22"/>
  <c r="H125" i="22" s="1"/>
  <c r="B114" i="22"/>
  <c r="I113" i="22"/>
  <c r="H124" i="22" s="1"/>
  <c r="D113" i="22"/>
  <c r="B113" i="22"/>
  <c r="I112" i="22"/>
  <c r="D112" i="22"/>
  <c r="I111" i="22"/>
  <c r="J110" i="22"/>
  <c r="I110" i="22"/>
  <c r="H123" i="22" s="1"/>
  <c r="J109" i="22"/>
  <c r="I109" i="22"/>
  <c r="H122" i="22" s="1"/>
  <c r="J108" i="22"/>
  <c r="J116" i="22" s="1"/>
  <c r="I108" i="22"/>
  <c r="H121" i="22" s="1"/>
  <c r="D107" i="22"/>
  <c r="B101" i="22"/>
  <c r="B100" i="22"/>
  <c r="B99" i="22"/>
  <c r="C98" i="22"/>
  <c r="B98" i="22"/>
  <c r="J97" i="22"/>
  <c r="L96" i="22"/>
  <c r="J96" i="22"/>
  <c r="B96" i="22"/>
  <c r="J95" i="22"/>
  <c r="B95" i="22"/>
  <c r="J94" i="22"/>
  <c r="G94" i="22"/>
  <c r="B94" i="22"/>
  <c r="B93" i="22"/>
  <c r="C90" i="22"/>
  <c r="C86" i="22"/>
  <c r="J113" i="22" s="1"/>
  <c r="I85" i="22"/>
  <c r="I84" i="22"/>
  <c r="I82" i="22"/>
  <c r="I81" i="22"/>
  <c r="I80" i="22"/>
  <c r="G75" i="22"/>
  <c r="C75" i="22"/>
  <c r="J74" i="22" s="1"/>
  <c r="G74" i="22"/>
  <c r="C74" i="22"/>
  <c r="G71" i="22"/>
  <c r="C70" i="22"/>
  <c r="B69" i="22"/>
  <c r="G68" i="22"/>
  <c r="B68" i="22"/>
  <c r="G67" i="22"/>
  <c r="B67" i="22"/>
  <c r="G66" i="22"/>
  <c r="C66" i="22"/>
  <c r="B65" i="22"/>
  <c r="B64" i="22"/>
  <c r="I63" i="22"/>
  <c r="B63" i="22"/>
  <c r="J62" i="22"/>
  <c r="I62" i="22"/>
  <c r="B62" i="22"/>
  <c r="B61" i="22"/>
  <c r="L58" i="22"/>
  <c r="C58" i="22"/>
  <c r="J56" i="22" s="1"/>
  <c r="L57" i="22"/>
  <c r="C52" i="22"/>
  <c r="K48" i="22"/>
  <c r="J48" i="22"/>
  <c r="I48" i="22"/>
  <c r="B48" i="22"/>
  <c r="I46" i="22"/>
  <c r="C45" i="22"/>
  <c r="J58" i="22" s="1"/>
  <c r="G44" i="22"/>
  <c r="G43" i="22"/>
  <c r="B43" i="22"/>
  <c r="G42" i="22"/>
  <c r="B41" i="22"/>
  <c r="G41" i="22" s="1"/>
  <c r="G40" i="22"/>
  <c r="B40" i="22"/>
  <c r="G39" i="22"/>
  <c r="I38" i="22"/>
  <c r="G38" i="22"/>
  <c r="G37" i="22"/>
  <c r="I36" i="22"/>
  <c r="G36" i="22"/>
  <c r="G35" i="22"/>
  <c r="D24" i="22"/>
  <c r="B24" i="22"/>
  <c r="D23" i="22"/>
  <c r="B23" i="22"/>
  <c r="Y22" i="22"/>
  <c r="Y21" i="22"/>
  <c r="Y20" i="22"/>
  <c r="Y19" i="22"/>
  <c r="Y18" i="22"/>
  <c r="C4" i="21"/>
  <c r="C45" i="17"/>
  <c r="J74" i="23" l="1"/>
  <c r="J71" i="23"/>
  <c r="J69" i="23"/>
  <c r="J66" i="23"/>
  <c r="J72" i="23" s="1"/>
  <c r="C133" i="23"/>
  <c r="L129" i="23" s="1"/>
  <c r="J67" i="23"/>
  <c r="J70" i="23"/>
  <c r="J68" i="23"/>
  <c r="I40" i="23"/>
  <c r="I43" i="23"/>
  <c r="J56" i="23"/>
  <c r="I81" i="23"/>
  <c r="I85" i="23"/>
  <c r="D108" i="23"/>
  <c r="D109" i="23"/>
  <c r="D110" i="23"/>
  <c r="D111" i="23"/>
  <c r="H113" i="23"/>
  <c r="D114" i="23"/>
  <c r="D115" i="23"/>
  <c r="D116" i="23"/>
  <c r="D117" i="23"/>
  <c r="D121" i="23"/>
  <c r="D122" i="23"/>
  <c r="D123" i="23"/>
  <c r="D124" i="23"/>
  <c r="D125" i="23"/>
  <c r="D126" i="23"/>
  <c r="D127" i="23"/>
  <c r="D128" i="23"/>
  <c r="D129" i="23"/>
  <c r="D131" i="23"/>
  <c r="H56" i="23"/>
  <c r="I35" i="23"/>
  <c r="I37" i="23"/>
  <c r="I39" i="23"/>
  <c r="I42" i="23"/>
  <c r="H47" i="23"/>
  <c r="H57" i="23"/>
  <c r="H58" i="23"/>
  <c r="H108" i="23"/>
  <c r="H116" i="23" s="1"/>
  <c r="H109" i="23"/>
  <c r="H110" i="23"/>
  <c r="J112" i="23"/>
  <c r="H114" i="23"/>
  <c r="H115" i="23"/>
  <c r="D118" i="23"/>
  <c r="I41" i="23"/>
  <c r="I44" i="23"/>
  <c r="J57" i="23"/>
  <c r="I79" i="23"/>
  <c r="I87" i="23" s="1"/>
  <c r="I83" i="23"/>
  <c r="H89" i="23" s="1"/>
  <c r="I86" i="23"/>
  <c r="D106" i="23"/>
  <c r="J111" i="23"/>
  <c r="I116" i="23"/>
  <c r="D119" i="23"/>
  <c r="J128" i="22"/>
  <c r="J75" i="22"/>
  <c r="J68" i="22"/>
  <c r="J70" i="22"/>
  <c r="D108" i="22"/>
  <c r="D109" i="22"/>
  <c r="D110" i="22"/>
  <c r="D111" i="22"/>
  <c r="H113" i="22"/>
  <c r="D114" i="22"/>
  <c r="D115" i="22"/>
  <c r="D116" i="22"/>
  <c r="D117" i="22"/>
  <c r="D121" i="22"/>
  <c r="D122" i="22"/>
  <c r="D123" i="22"/>
  <c r="D124" i="22"/>
  <c r="D125" i="22"/>
  <c r="D126" i="22"/>
  <c r="D127" i="22"/>
  <c r="D128" i="22"/>
  <c r="D129" i="22"/>
  <c r="D131" i="22"/>
  <c r="I35" i="22"/>
  <c r="I37" i="22"/>
  <c r="I39" i="22"/>
  <c r="I42" i="22"/>
  <c r="H47" i="22"/>
  <c r="H57" i="22"/>
  <c r="H58" i="22"/>
  <c r="J67" i="22"/>
  <c r="H108" i="22"/>
  <c r="H116" i="22" s="1"/>
  <c r="H109" i="22"/>
  <c r="H110" i="22"/>
  <c r="J112" i="22"/>
  <c r="H114" i="22"/>
  <c r="H115" i="22"/>
  <c r="D118" i="22"/>
  <c r="C133" i="22"/>
  <c r="L129" i="22" s="1"/>
  <c r="I41" i="22"/>
  <c r="H56" i="22"/>
  <c r="I40" i="22"/>
  <c r="I43" i="22"/>
  <c r="I44" i="22"/>
  <c r="J57" i="22"/>
  <c r="J66" i="22"/>
  <c r="J72" i="22" s="1"/>
  <c r="J69" i="22"/>
  <c r="J71" i="22"/>
  <c r="I79" i="22"/>
  <c r="I87" i="22" s="1"/>
  <c r="I83" i="22"/>
  <c r="H89" i="22" s="1"/>
  <c r="I86" i="22"/>
  <c r="D106" i="22"/>
  <c r="J111" i="22"/>
  <c r="I116" i="22"/>
  <c r="D119" i="22"/>
  <c r="O2" i="21"/>
  <c r="O5" i="21" s="1"/>
  <c r="H90" i="23" l="1"/>
  <c r="J128" i="23"/>
  <c r="J75" i="23"/>
  <c r="H90" i="22"/>
  <c r="P5" i="21"/>
  <c r="O6" i="21"/>
  <c r="O7" i="21" s="1"/>
  <c r="O8" i="21" s="1"/>
  <c r="O9" i="21" s="1"/>
  <c r="O10" i="21" s="1"/>
  <c r="O11" i="21" s="1"/>
  <c r="O12" i="21" s="1"/>
  <c r="O13" i="21" s="1"/>
  <c r="O14" i="21" s="1"/>
  <c r="O15" i="21" s="1"/>
  <c r="O16" i="21" s="1"/>
  <c r="O17" i="21" s="1"/>
  <c r="O18" i="21" s="1"/>
  <c r="O19" i="21" s="1"/>
  <c r="O20" i="21" s="1"/>
  <c r="O21" i="21" s="1"/>
  <c r="O22" i="21" s="1"/>
  <c r="O23" i="21" s="1"/>
  <c r="O24" i="21" s="1"/>
  <c r="O25" i="21" s="1"/>
  <c r="O26" i="21" s="1"/>
  <c r="O27" i="21" s="1"/>
  <c r="O28" i="21" s="1"/>
  <c r="P22" i="21"/>
  <c r="P12" i="21" l="1"/>
  <c r="P15" i="21"/>
  <c r="P20" i="21"/>
  <c r="P10" i="21"/>
  <c r="P25" i="21"/>
  <c r="P9" i="21"/>
  <c r="P18" i="21"/>
  <c r="P6" i="21"/>
  <c r="P23" i="21"/>
  <c r="P7" i="21"/>
  <c r="P14" i="21"/>
  <c r="P17" i="21"/>
  <c r="P21" i="21"/>
  <c r="P13" i="21"/>
  <c r="P26" i="21"/>
  <c r="P24" i="21"/>
  <c r="P16" i="21"/>
  <c r="P8" i="21"/>
  <c r="P27" i="21"/>
  <c r="P19" i="21"/>
  <c r="P11" i="21"/>
  <c r="AC134" i="17" l="1"/>
  <c r="I126" i="17" l="1"/>
  <c r="I125" i="17"/>
  <c r="I124" i="17"/>
  <c r="I123" i="17"/>
  <c r="I122" i="17"/>
  <c r="I121" i="17"/>
  <c r="K128" i="17"/>
  <c r="K127" i="17"/>
  <c r="C5" i="21" l="1"/>
  <c r="C16" i="21"/>
  <c r="C6" i="21" l="1"/>
  <c r="C7" i="21" s="1"/>
  <c r="C86" i="17"/>
  <c r="C32" i="21" l="1"/>
  <c r="C36" i="21"/>
  <c r="L58" i="17"/>
  <c r="C70" i="17"/>
  <c r="C66" i="17"/>
  <c r="J94" i="17" l="1"/>
  <c r="B100" i="17" l="1"/>
  <c r="C52" i="17" l="1"/>
  <c r="K48" i="17"/>
  <c r="B69" i="17"/>
  <c r="G68" i="17" l="1"/>
  <c r="B43" i="17"/>
  <c r="G43" i="17" s="1"/>
  <c r="B41" i="17"/>
  <c r="G41" i="17" s="1"/>
  <c r="B114" i="17"/>
  <c r="D3" i="15"/>
  <c r="B24" i="17"/>
  <c r="B23" i="17"/>
  <c r="C90" i="17"/>
  <c r="J114" i="17"/>
  <c r="B65" i="17"/>
  <c r="B64" i="17"/>
  <c r="B62" i="17"/>
  <c r="D23" i="17"/>
  <c r="Y21" i="17"/>
  <c r="D4" i="15"/>
  <c r="C131" i="17"/>
  <c r="G128" i="17"/>
  <c r="J127" i="17"/>
  <c r="G127" i="17"/>
  <c r="G126" i="17"/>
  <c r="G125" i="17"/>
  <c r="G124" i="17"/>
  <c r="G123" i="17"/>
  <c r="G122" i="17"/>
  <c r="G121" i="17"/>
  <c r="I115" i="17"/>
  <c r="I114" i="17"/>
  <c r="C34" i="21" s="1"/>
  <c r="I113" i="17"/>
  <c r="C33" i="21" s="1"/>
  <c r="B113" i="17"/>
  <c r="I112" i="17"/>
  <c r="I111" i="17"/>
  <c r="I110" i="17"/>
  <c r="C30" i="21" s="1"/>
  <c r="C38" i="21" s="1"/>
  <c r="I109" i="17"/>
  <c r="C29" i="21" s="1"/>
  <c r="I108" i="17"/>
  <c r="C28" i="21" s="1"/>
  <c r="B101" i="17"/>
  <c r="B99" i="17"/>
  <c r="C98" i="17"/>
  <c r="J95" i="17" s="1"/>
  <c r="B98" i="17"/>
  <c r="L96" i="17"/>
  <c r="J96" i="17"/>
  <c r="B96" i="17"/>
  <c r="B95" i="17"/>
  <c r="G94" i="17"/>
  <c r="B94" i="17"/>
  <c r="B93" i="17"/>
  <c r="G75" i="17"/>
  <c r="G74" i="17"/>
  <c r="C74" i="17"/>
  <c r="G71" i="17"/>
  <c r="B68" i="17"/>
  <c r="G67" i="17"/>
  <c r="B67" i="17"/>
  <c r="G66" i="17"/>
  <c r="I63" i="17"/>
  <c r="B63" i="17"/>
  <c r="J62" i="17"/>
  <c r="I62" i="17"/>
  <c r="B61" i="17"/>
  <c r="C58" i="17"/>
  <c r="L57" i="17"/>
  <c r="J48" i="17"/>
  <c r="I48" i="17"/>
  <c r="B48" i="17"/>
  <c r="I46" i="17"/>
  <c r="G44" i="17"/>
  <c r="G42" i="17"/>
  <c r="B40" i="17"/>
  <c r="G40" i="17" s="1"/>
  <c r="G39" i="17"/>
  <c r="G38" i="17"/>
  <c r="G37" i="17"/>
  <c r="G36" i="17"/>
  <c r="G35" i="17"/>
  <c r="D24" i="17"/>
  <c r="Y22" i="17"/>
  <c r="Y20" i="17"/>
  <c r="Y19" i="17"/>
  <c r="Y18" i="17"/>
  <c r="C37" i="21" l="1"/>
  <c r="I116" i="17"/>
  <c r="H121" i="17"/>
  <c r="H122" i="17"/>
  <c r="H123" i="17"/>
  <c r="H125" i="17"/>
  <c r="H124" i="17"/>
  <c r="H126" i="17"/>
  <c r="J97" i="17"/>
  <c r="D116" i="17"/>
  <c r="D115" i="17"/>
  <c r="D131" i="17"/>
  <c r="B37" i="15"/>
  <c r="B36" i="15"/>
  <c r="B41" i="15"/>
  <c r="B35" i="15"/>
  <c r="B42" i="15"/>
  <c r="B20" i="15"/>
  <c r="B21" i="15"/>
  <c r="B25" i="15"/>
  <c r="B29" i="15"/>
  <c r="B30" i="15"/>
  <c r="B52" i="15"/>
  <c r="B53" i="15"/>
  <c r="H56" i="17"/>
  <c r="H109" i="17"/>
  <c r="D122" i="17"/>
  <c r="D128" i="17"/>
  <c r="D117" i="17"/>
  <c r="D123" i="17"/>
  <c r="D126" i="17"/>
  <c r="D107" i="17"/>
  <c r="H110" i="17"/>
  <c r="H113" i="17"/>
  <c r="D129" i="17"/>
  <c r="D106" i="17"/>
  <c r="D113" i="17"/>
  <c r="D108" i="17"/>
  <c r="D118" i="17"/>
  <c r="D124" i="17"/>
  <c r="D110" i="17"/>
  <c r="H115" i="17"/>
  <c r="H108" i="17"/>
  <c r="D111" i="17"/>
  <c r="D119" i="17"/>
  <c r="D127" i="17"/>
  <c r="D120" i="17"/>
  <c r="D114" i="17"/>
  <c r="D109" i="17"/>
  <c r="D112" i="17"/>
  <c r="H114" i="17"/>
  <c r="D121" i="17"/>
  <c r="D125" i="17"/>
  <c r="D130" i="17"/>
  <c r="J115" i="17"/>
  <c r="J113" i="17"/>
  <c r="I83" i="17"/>
  <c r="H89" i="17" s="1"/>
  <c r="C75" i="17"/>
  <c r="J68" i="17" s="1"/>
  <c r="I42" i="17"/>
  <c r="I39" i="17"/>
  <c r="J56" i="17"/>
  <c r="J57" i="17"/>
  <c r="I38" i="17"/>
  <c r="I35" i="17"/>
  <c r="I40" i="17"/>
  <c r="I41" i="17"/>
  <c r="H58" i="17"/>
  <c r="I81" i="17"/>
  <c r="I84" i="17"/>
  <c r="J111" i="17"/>
  <c r="J109" i="17"/>
  <c r="H47" i="17"/>
  <c r="H57" i="17"/>
  <c r="I82" i="17"/>
  <c r="I36" i="17"/>
  <c r="I43" i="17"/>
  <c r="I85" i="17"/>
  <c r="J112" i="17"/>
  <c r="I37" i="17"/>
  <c r="I44" i="17"/>
  <c r="J58" i="17"/>
  <c r="I79" i="17"/>
  <c r="I86" i="17"/>
  <c r="I80" i="17"/>
  <c r="J108" i="17"/>
  <c r="J110" i="17"/>
  <c r="C22" i="15"/>
  <c r="D22" i="15"/>
  <c r="F22" i="15"/>
  <c r="E22" i="15"/>
  <c r="J116" i="17" l="1"/>
  <c r="H116" i="17"/>
  <c r="J67" i="17"/>
  <c r="J74" i="17"/>
  <c r="J75" i="17" s="1"/>
  <c r="I87" i="17"/>
  <c r="J71" i="17"/>
  <c r="C133" i="17"/>
  <c r="L129" i="17" s="1"/>
  <c r="J69" i="17"/>
  <c r="J66" i="17"/>
  <c r="J70" i="17"/>
  <c r="H90" i="17"/>
  <c r="J72" i="17" l="1"/>
  <c r="J128" i="17"/>
  <c r="D32" i="15"/>
  <c r="F53" i="15"/>
  <c r="E31" i="15"/>
  <c r="E24" i="15"/>
  <c r="D62" i="15"/>
  <c r="F35" i="15"/>
  <c r="F75" i="15"/>
  <c r="F61" i="15"/>
  <c r="E49" i="15"/>
  <c r="F36" i="15"/>
  <c r="E19" i="15"/>
  <c r="D37" i="15"/>
  <c r="E21" i="15"/>
  <c r="C15" i="15"/>
  <c r="E72" i="15"/>
  <c r="C36" i="15"/>
  <c r="E56" i="15"/>
  <c r="F37" i="15"/>
  <c r="E65" i="15"/>
  <c r="C49" i="15"/>
  <c r="C80" i="15"/>
  <c r="E33" i="15"/>
  <c r="D46" i="15"/>
  <c r="E75" i="15"/>
  <c r="F45" i="15"/>
  <c r="C25" i="15"/>
  <c r="F81" i="15"/>
  <c r="C72" i="15"/>
  <c r="D65" i="15"/>
  <c r="E28" i="15"/>
  <c r="C32" i="15"/>
  <c r="E20" i="15"/>
  <c r="D26" i="15"/>
  <c r="C19" i="15"/>
  <c r="D60" i="15"/>
  <c r="F51" i="15"/>
  <c r="F29" i="15"/>
  <c r="E81" i="15"/>
  <c r="D28" i="15"/>
  <c r="E26" i="15"/>
  <c r="E35" i="15"/>
  <c r="E52" i="15"/>
  <c r="C65" i="15"/>
  <c r="D21" i="15"/>
  <c r="C77" i="15"/>
  <c r="F24" i="15"/>
  <c r="E36" i="15"/>
  <c r="F62" i="15"/>
  <c r="E84" i="15"/>
  <c r="F56" i="15"/>
  <c r="C73" i="15"/>
  <c r="C20" i="15"/>
  <c r="C60" i="15"/>
  <c r="C23" i="15"/>
  <c r="E45" i="15"/>
  <c r="F60" i="15"/>
  <c r="C74" i="15"/>
  <c r="D54" i="15"/>
  <c r="E64" i="15"/>
  <c r="F69" i="15"/>
  <c r="D64" i="15"/>
  <c r="C66" i="15"/>
  <c r="C82" i="15"/>
  <c r="C63" i="15"/>
  <c r="C56" i="15"/>
  <c r="E29" i="15"/>
  <c r="D51" i="15"/>
  <c r="F52" i="15"/>
  <c r="F30" i="15"/>
  <c r="D81" i="15"/>
  <c r="E69" i="15"/>
  <c r="F50" i="15"/>
  <c r="D36" i="15"/>
  <c r="F59" i="15"/>
  <c r="D69" i="15"/>
  <c r="E60" i="15"/>
  <c r="D39" i="15"/>
  <c r="D50" i="15"/>
  <c r="D18" i="15"/>
  <c r="F23" i="15"/>
  <c r="D25" i="15"/>
  <c r="D67" i="15"/>
  <c r="E38" i="15"/>
  <c r="C28" i="15"/>
  <c r="F33" i="15"/>
  <c r="C38" i="15"/>
  <c r="E57" i="15"/>
  <c r="E53" i="15"/>
  <c r="D30" i="15"/>
  <c r="E23" i="15"/>
  <c r="F49" i="15"/>
  <c r="D15" i="15"/>
  <c r="D61" i="15"/>
  <c r="C76" i="15"/>
  <c r="C45" i="15"/>
  <c r="C59" i="15"/>
  <c r="E74" i="15"/>
  <c r="D56" i="15"/>
  <c r="D63" i="15"/>
  <c r="E30" i="15"/>
  <c r="E68" i="15"/>
  <c r="D31" i="15"/>
  <c r="C68" i="15"/>
  <c r="F31" i="15"/>
  <c r="D24" i="15"/>
  <c r="C61" i="15"/>
  <c r="D48" i="15"/>
  <c r="C39" i="15"/>
  <c r="D79" i="15"/>
  <c r="D38" i="15"/>
  <c r="F76" i="15"/>
  <c r="C29" i="15"/>
  <c r="D59" i="15"/>
  <c r="C69" i="15"/>
  <c r="C58" i="15"/>
  <c r="E18" i="15"/>
  <c r="E54" i="15"/>
  <c r="F72" i="15"/>
  <c r="E32" i="15"/>
  <c r="E83" i="15"/>
  <c r="E55" i="15"/>
  <c r="C18" i="15"/>
  <c r="F15" i="15"/>
  <c r="E46" i="15"/>
  <c r="C75" i="15"/>
  <c r="F18" i="15"/>
  <c r="E82" i="15"/>
  <c r="D45" i="15"/>
  <c r="E15" i="15"/>
  <c r="E39" i="15"/>
  <c r="F38" i="15"/>
  <c r="D20" i="15"/>
  <c r="C26" i="15"/>
  <c r="E58" i="15"/>
  <c r="F73" i="15"/>
  <c r="C51" i="15"/>
  <c r="C84" i="15"/>
  <c r="F54" i="15"/>
  <c r="C62" i="15"/>
  <c r="F58" i="15"/>
  <c r="E48" i="15"/>
  <c r="D80" i="15"/>
  <c r="F28" i="15"/>
  <c r="E80" i="15"/>
  <c r="F83" i="15"/>
  <c r="C46" i="15"/>
  <c r="D40" i="15"/>
  <c r="F84" i="15"/>
  <c r="F40" i="15"/>
  <c r="E40" i="15"/>
  <c r="C52" i="15"/>
  <c r="E47" i="15"/>
  <c r="C21" i="15"/>
  <c r="C33" i="15"/>
  <c r="E73" i="15"/>
  <c r="D35" i="15"/>
  <c r="E37" i="15"/>
  <c r="F55" i="15"/>
  <c r="E79" i="15"/>
  <c r="E62" i="15"/>
  <c r="C57" i="15"/>
  <c r="F39" i="15"/>
  <c r="D55" i="15"/>
  <c r="E77" i="15"/>
  <c r="D66" i="15"/>
  <c r="E25" i="15"/>
  <c r="E27" i="15"/>
  <c r="F74" i="15"/>
  <c r="C47" i="15"/>
  <c r="C53" i="15"/>
  <c r="F67" i="15"/>
  <c r="C17" i="15"/>
  <c r="C67" i="15"/>
  <c r="D57" i="15"/>
  <c r="F64" i="15"/>
  <c r="F21" i="15"/>
  <c r="F46" i="15"/>
  <c r="F77" i="15"/>
  <c r="E63" i="15"/>
  <c r="D23" i="15"/>
  <c r="C30" i="15"/>
  <c r="F65" i="15"/>
  <c r="C54" i="15"/>
  <c r="F68" i="15"/>
  <c r="F20" i="15"/>
  <c r="F63" i="15"/>
  <c r="F32" i="15"/>
  <c r="C55" i="15"/>
  <c r="F66" i="15"/>
  <c r="C79" i="15"/>
  <c r="F26" i="15"/>
  <c r="D17" i="15"/>
  <c r="D49" i="15"/>
  <c r="C50" i="15"/>
  <c r="C40" i="15"/>
  <c r="C48" i="15"/>
  <c r="C35" i="15"/>
  <c r="F80" i="15"/>
  <c r="C64" i="15"/>
  <c r="E50" i="15"/>
  <c r="E76" i="15"/>
  <c r="F79" i="15"/>
  <c r="F82" i="15"/>
  <c r="F25" i="15"/>
  <c r="E61" i="15"/>
  <c r="E59" i="15"/>
  <c r="E67" i="15"/>
  <c r="D52" i="15"/>
  <c r="D58" i="15"/>
  <c r="D68" i="15"/>
  <c r="D53" i="15"/>
  <c r="F27" i="15"/>
  <c r="E17" i="15"/>
  <c r="E66" i="15"/>
  <c r="C81" i="15"/>
  <c r="C24" i="15"/>
  <c r="D47" i="15"/>
  <c r="C31" i="15"/>
  <c r="E51" i="15"/>
  <c r="F47" i="15"/>
  <c r="C37" i="15"/>
  <c r="F17" i="15"/>
  <c r="C83" i="15"/>
  <c r="F48" i="15"/>
  <c r="F57" i="15"/>
  <c r="C27" i="15"/>
  <c r="E8" i="15"/>
  <c r="D11" i="15"/>
  <c r="F14" i="15"/>
  <c r="F9" i="15"/>
  <c r="E11" i="15"/>
  <c r="E10" i="15"/>
  <c r="F10" i="15"/>
  <c r="E13" i="15"/>
  <c r="C10" i="15"/>
  <c r="D12" i="15"/>
  <c r="E9" i="15"/>
  <c r="F12" i="15"/>
  <c r="C9" i="15"/>
  <c r="C11" i="15"/>
  <c r="D14" i="15"/>
  <c r="E14" i="15"/>
  <c r="D8" i="15"/>
  <c r="C13" i="15"/>
  <c r="F8" i="15"/>
  <c r="D13" i="15"/>
  <c r="C14" i="15"/>
  <c r="E12" i="15"/>
  <c r="D9" i="15"/>
  <c r="F11" i="15"/>
  <c r="C8" i="15"/>
  <c r="D10" i="15"/>
  <c r="F13" i="15"/>
  <c r="C12" i="15"/>
  <c r="C41" i="15" l="1"/>
  <c r="D41" i="15"/>
  <c r="D42" i="15"/>
  <c r="E42" i="15"/>
  <c r="E41" i="15"/>
  <c r="C42" i="15"/>
  <c r="F42" i="15"/>
  <c r="F41" i="15"/>
  <c r="D44" i="15"/>
  <c r="E44" i="15"/>
  <c r="F44" i="15"/>
  <c r="C44" i="15"/>
  <c r="B26" i="15" l="1"/>
  <c r="B22" i="15"/>
  <c r="B23" i="15"/>
  <c r="D29" i="15"/>
  <c r="D33" i="15"/>
  <c r="D82" i="15"/>
  <c r="D84" i="15"/>
  <c r="D74" i="15"/>
  <c r="D72" i="15"/>
  <c r="F19" i="15"/>
  <c r="D83" i="15"/>
  <c r="D73" i="15"/>
  <c r="D75" i="15"/>
  <c r="D27" i="15"/>
  <c r="D76" i="15"/>
  <c r="D19" i="15"/>
  <c r="D77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 Méthanisation</author>
  </authors>
  <commentList>
    <comment ref="B40" authorId="0" shapeId="0" xr:uid="{B21C0912-AE37-4D73-B383-95DD391D327F}">
      <text>
        <r>
          <rPr>
            <b/>
            <sz val="9"/>
            <color indexed="81"/>
            <rFont val="Tahoma"/>
            <family val="2"/>
          </rPr>
          <t>GO par exemple</t>
        </r>
      </text>
    </comment>
  </commentList>
</comments>
</file>

<file path=xl/sharedStrings.xml><?xml version="1.0" encoding="utf-8"?>
<sst xmlns="http://schemas.openxmlformats.org/spreadsheetml/2006/main" count="1009" uniqueCount="302">
  <si>
    <t>UNITE DE METHANISATION</t>
  </si>
  <si>
    <t>Aménagement du site</t>
  </si>
  <si>
    <t>SUBVENTIONS</t>
  </si>
  <si>
    <t>PRODUITS</t>
  </si>
  <si>
    <t>Achat matières premières</t>
  </si>
  <si>
    <t>Assurances</t>
  </si>
  <si>
    <t>Impôts et taxes</t>
  </si>
  <si>
    <t>TOTAL Charges</t>
  </si>
  <si>
    <t>RESULTAT</t>
  </si>
  <si>
    <t>m3</t>
  </si>
  <si>
    <t>Tonnage annuel de matières incorporées</t>
  </si>
  <si>
    <t>ADEME</t>
  </si>
  <si>
    <t>REGION</t>
  </si>
  <si>
    <t>TOTAL Subventions</t>
  </si>
  <si>
    <r>
      <t xml:space="preserve">Indemnité gérance </t>
    </r>
    <r>
      <rPr>
        <sz val="8"/>
        <color rgb="FF000000"/>
        <rFont val="Calibri"/>
        <family val="2"/>
        <scheme val="minor"/>
      </rPr>
      <t>(SARL, SCEA) ou jeton de présence (SAS)</t>
    </r>
  </si>
  <si>
    <t>Ouvrages de digestion</t>
  </si>
  <si>
    <t>TOTAL PRODUITS</t>
  </si>
  <si>
    <t>Intérêts d'emprunts</t>
  </si>
  <si>
    <t>APPRO</t>
  </si>
  <si>
    <t>DIGESTAT</t>
  </si>
  <si>
    <t>EXPLOITATION</t>
  </si>
  <si>
    <t>TRAVAIL</t>
  </si>
  <si>
    <t>Cultures énergétique dédiées</t>
  </si>
  <si>
    <t>MWh</t>
  </si>
  <si>
    <t>Unité</t>
  </si>
  <si>
    <t>€</t>
  </si>
  <si>
    <t xml:space="preserve">TOTAL investissement </t>
  </si>
  <si>
    <t>Sans subvention</t>
  </si>
  <si>
    <t>Avec subvention</t>
  </si>
  <si>
    <t>% de subvention</t>
  </si>
  <si>
    <t>Taux de fonctionnement</t>
  </si>
  <si>
    <t>Taux de charge</t>
  </si>
  <si>
    <t>MWh vendu / MWh max productible</t>
  </si>
  <si>
    <t>Répartition des produits</t>
  </si>
  <si>
    <t>Flux énergie</t>
  </si>
  <si>
    <t>Flux entrants et sortant en TONNE</t>
  </si>
  <si>
    <t>%</t>
  </si>
  <si>
    <t>Les charges en EUROS</t>
  </si>
  <si>
    <t>E
X
P
L
O
I
T
A
T
I
O
N</t>
  </si>
  <si>
    <t>A
U
T
R
E</t>
  </si>
  <si>
    <t>€/MWh vendu</t>
  </si>
  <si>
    <t>€/T entrante</t>
  </si>
  <si>
    <t>AUTRES</t>
  </si>
  <si>
    <t>TOTAL</t>
  </si>
  <si>
    <t>Indicateur technico-économique €/T ou €/MWh</t>
  </si>
  <si>
    <t>Indicateur : Cout investissement/puissance installée</t>
  </si>
  <si>
    <t>Nom unité</t>
  </si>
  <si>
    <t>Nom de la personne qui a saisi</t>
  </si>
  <si>
    <t>MWH</t>
  </si>
  <si>
    <t>€/MWH</t>
  </si>
  <si>
    <t>Heure</t>
  </si>
  <si>
    <t xml:space="preserve">Période analysée du  : </t>
  </si>
  <si>
    <t>Commentaires et remarques pour expliquer des spécificités de l'installation</t>
  </si>
  <si>
    <t>Classement ICPE</t>
  </si>
  <si>
    <t>Préciser si montant prévu ou réalisé</t>
  </si>
  <si>
    <t>Menu déroulant</t>
  </si>
  <si>
    <t>Valorisation énergie</t>
  </si>
  <si>
    <t>Montant subvention / investissement total</t>
  </si>
  <si>
    <t>Détails des investissements</t>
  </si>
  <si>
    <t>Vente digestat</t>
  </si>
  <si>
    <t>TOTAL vente énergie</t>
  </si>
  <si>
    <t>TOTAL Autres produits</t>
  </si>
  <si>
    <t>Autre, Préciser :</t>
  </si>
  <si>
    <t>Total</t>
  </si>
  <si>
    <t>Redevances traitement déchets</t>
  </si>
  <si>
    <t>Redevance déchet</t>
  </si>
  <si>
    <t>Effluents fumier</t>
  </si>
  <si>
    <t>Effluents lisier</t>
  </si>
  <si>
    <t>STEP</t>
  </si>
  <si>
    <t>Fumier</t>
  </si>
  <si>
    <t>Lisier</t>
  </si>
  <si>
    <t>Co-produits végétaux</t>
  </si>
  <si>
    <t>CIVE</t>
  </si>
  <si>
    <t>Déchet IAA</t>
  </si>
  <si>
    <t>Biodéchet</t>
  </si>
  <si>
    <t>Répartition des entrants</t>
  </si>
  <si>
    <t>Culture dédiée</t>
  </si>
  <si>
    <t>&lt; 15 % du tonnage brut</t>
  </si>
  <si>
    <t>Effluent</t>
  </si>
  <si>
    <t>&gt; 60 % pour prime effluent max</t>
  </si>
  <si>
    <t>MWH électricité PV/MWH électrique tot consommé</t>
  </si>
  <si>
    <t>Année</t>
  </si>
  <si>
    <t>T de MB</t>
  </si>
  <si>
    <t>Tonne de MB</t>
  </si>
  <si>
    <t>Marge</t>
  </si>
  <si>
    <t>% énergie PV sur conso élect totale</t>
  </si>
  <si>
    <t>INVEST</t>
  </si>
  <si>
    <t>% conso élect sur vente énergie</t>
  </si>
  <si>
    <t>MWH électricité consommée/MWH énergie vendue</t>
  </si>
  <si>
    <t>STEP urbaine</t>
  </si>
  <si>
    <t>m3/an</t>
  </si>
  <si>
    <t>Temps fonctionnement torchère</t>
  </si>
  <si>
    <t>Volume de biogaz brulé par la torchère</t>
  </si>
  <si>
    <t>(MWh autoconsommés)/MWh vendus</t>
  </si>
  <si>
    <t>Injection</t>
  </si>
  <si>
    <t>Cogé</t>
  </si>
  <si>
    <t>Electricité - remboursement CSPE</t>
  </si>
  <si>
    <t>Equivalent UTH</t>
  </si>
  <si>
    <r>
      <t>Equi. UTH</t>
    </r>
    <r>
      <rPr>
        <sz val="7"/>
        <color theme="1"/>
        <rFont val="Calibri"/>
        <family val="2"/>
        <scheme val="minor"/>
      </rPr>
      <t xml:space="preserve"> (suivi, chargement astreinte, admin, hors transport/épandage)</t>
    </r>
  </si>
  <si>
    <t>Obligatoire</t>
  </si>
  <si>
    <t>Type de contrat</t>
  </si>
  <si>
    <t>BGM6</t>
  </si>
  <si>
    <t>BG11</t>
  </si>
  <si>
    <t>BG16</t>
  </si>
  <si>
    <t>Appel d'offre</t>
  </si>
  <si>
    <t>Appro</t>
  </si>
  <si>
    <t>Autres</t>
  </si>
  <si>
    <t>Invest</t>
  </si>
  <si>
    <t>Réinvestissement / renouvellement autre</t>
  </si>
  <si>
    <t>Réinvestissement</t>
  </si>
  <si>
    <t>Code Postal</t>
  </si>
  <si>
    <t>Stockage, réception et incorpo des entrants</t>
  </si>
  <si>
    <t>Stockage digestat et séparation de phase</t>
  </si>
  <si>
    <t>Montant total à répartir :</t>
  </si>
  <si>
    <t>Heures travail estimées non visibles en compta</t>
  </si>
  <si>
    <t>au</t>
  </si>
  <si>
    <t>Réinvest renouvellement autre</t>
  </si>
  <si>
    <t>Investissement initial</t>
  </si>
  <si>
    <t>Invest initial</t>
  </si>
  <si>
    <t>Ré-investissement</t>
  </si>
  <si>
    <t>TOTAL ré-investissements après la MES</t>
  </si>
  <si>
    <t>A SAISIR</t>
  </si>
  <si>
    <t>Avec Ré-investissement</t>
  </si>
  <si>
    <r>
      <t xml:space="preserve">Biodéchets </t>
    </r>
    <r>
      <rPr>
        <i/>
        <sz val="10"/>
        <color rgb="FF000000"/>
        <rFont val="Calibri"/>
        <family val="2"/>
        <scheme val="minor"/>
      </rPr>
      <t>(soupe, restauration, GMS, déchets verts)</t>
    </r>
  </si>
  <si>
    <t>Transport matières premières facturé</t>
  </si>
  <si>
    <t>Transport + épandage digestat facturé</t>
  </si>
  <si>
    <t>Maintenance/entretien process</t>
  </si>
  <si>
    <t>Achat énergie pour hygiénisation, réseau, véhicule…</t>
  </si>
  <si>
    <t>Mon cout de prod complet</t>
  </si>
  <si>
    <t>Poste de charge</t>
  </si>
  <si>
    <t>Log digestat</t>
  </si>
  <si>
    <t>Exploit</t>
  </si>
  <si>
    <t>Main d'œuvre</t>
  </si>
  <si>
    <t>Injec</t>
  </si>
  <si>
    <t>Culture dédiée/énergie</t>
  </si>
  <si>
    <t>Mon site</t>
  </si>
  <si>
    <t>Min groupe</t>
  </si>
  <si>
    <t>Max groupe</t>
  </si>
  <si>
    <t>Commentaires pouvant expliquer certains résultats :</t>
  </si>
  <si>
    <t>Indicateurs techniques sur la consommation d'énergie</t>
  </si>
  <si>
    <t>Heures</t>
  </si>
  <si>
    <r>
      <t>Consommables</t>
    </r>
    <r>
      <rPr>
        <sz val="10"/>
        <color rgb="FF000000"/>
        <rFont val="Calibri"/>
        <family val="2"/>
        <scheme val="minor"/>
      </rPr>
      <t xml:space="preserve"> (eau, huile et lubrifiants, charbon actif, oxyde de fer,  fuel telesco, produits nettoyage, …)</t>
    </r>
  </si>
  <si>
    <t>Contrôle périodique, prestation BE</t>
  </si>
  <si>
    <t>Ingénierie/étude</t>
  </si>
  <si>
    <t>produit énergie</t>
  </si>
  <si>
    <t>produit autrez</t>
  </si>
  <si>
    <t>Mon produit</t>
  </si>
  <si>
    <r>
      <t xml:space="preserve">dont Autoconsoélectricité </t>
    </r>
    <r>
      <rPr>
        <u/>
        <sz val="12"/>
        <color theme="1"/>
        <rFont val="Calibri"/>
        <family val="2"/>
        <scheme val="minor"/>
      </rPr>
      <t>photovoltaïque</t>
    </r>
  </si>
  <si>
    <t>Année de référence</t>
  </si>
  <si>
    <t>Indicateur</t>
  </si>
  <si>
    <t>Taux de Charge</t>
  </si>
  <si>
    <t>Ration</t>
  </si>
  <si>
    <t>Heure de fonctionnement</t>
  </si>
  <si>
    <t>Typologie de site</t>
  </si>
  <si>
    <t>Type de ration</t>
  </si>
  <si>
    <t>Total digestat épandu</t>
  </si>
  <si>
    <t>Site :</t>
  </si>
  <si>
    <t>€co métha : Comparaison interannuelle de mon cout de production</t>
  </si>
  <si>
    <t>Production énergie</t>
  </si>
  <si>
    <t>Consommation énergie</t>
  </si>
  <si>
    <t>Charges</t>
  </si>
  <si>
    <t>AUTRE</t>
  </si>
  <si>
    <t>Déchets IAA</t>
  </si>
  <si>
    <t>Biodéchets</t>
  </si>
  <si>
    <t>Cultures dédiées</t>
  </si>
  <si>
    <t>Résidus cultures/coproduits</t>
  </si>
  <si>
    <t xml:space="preserve">Consommables </t>
  </si>
  <si>
    <t xml:space="preserve">Rémunération personnel </t>
  </si>
  <si>
    <t>% énergie consommé en torchère</t>
  </si>
  <si>
    <t>Digest</t>
  </si>
  <si>
    <t>Autre</t>
  </si>
  <si>
    <t>Ttravail</t>
  </si>
  <si>
    <t>Inves</t>
  </si>
  <si>
    <t>Raccordement aux différents réseaux</t>
  </si>
  <si>
    <t>Dont élect</t>
  </si>
  <si>
    <t>Dont maintenance</t>
  </si>
  <si>
    <t>% énergie consommée en torchère</t>
  </si>
  <si>
    <t>Indicateurs et ratios de mon site</t>
  </si>
  <si>
    <t>INVESTISSEMENTS CONSTRUCTION</t>
  </si>
  <si>
    <t xml:space="preserve">Autre, Préciser : </t>
  </si>
  <si>
    <r>
      <rPr>
        <b/>
        <u/>
        <sz val="16"/>
        <color rgb="FFFF0000"/>
        <rFont val="Calibri"/>
        <family val="2"/>
        <scheme val="minor"/>
      </rPr>
      <t>Saisie 2023</t>
    </r>
    <r>
      <rPr>
        <b/>
        <sz val="16"/>
        <color rgb="FFFF0000"/>
        <rFont val="Calibri"/>
        <family val="2"/>
        <scheme val="minor"/>
      </rPr>
      <t xml:space="preserve"> : Obligatoire </t>
    </r>
  </si>
  <si>
    <t xml:space="preserve">Développé par      </t>
  </si>
  <si>
    <t>Remplir les cases en jaune :</t>
  </si>
  <si>
    <t>Année de mise en service</t>
  </si>
  <si>
    <r>
      <t xml:space="preserve">Volume de digestion </t>
    </r>
    <r>
      <rPr>
        <sz val="10"/>
        <color theme="1"/>
        <rFont val="Calibri"/>
        <family val="2"/>
        <scheme val="minor"/>
      </rPr>
      <t>(digesteur + post-dig)</t>
    </r>
  </si>
  <si>
    <r>
      <t>Volume digestat recirculé</t>
    </r>
    <r>
      <rPr>
        <sz val="10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(fraction liquide séparation)</t>
    </r>
  </si>
  <si>
    <t>Chiffre affaires théorique calculé (Prix X MWH)</t>
  </si>
  <si>
    <r>
      <t xml:space="preserve">Transport matières premières calculé </t>
    </r>
    <r>
      <rPr>
        <sz val="10"/>
        <color rgb="FF000000"/>
        <rFont val="Calibri"/>
        <family val="2"/>
        <scheme val="minor"/>
      </rPr>
      <t>(amortissement)</t>
    </r>
  </si>
  <si>
    <r>
      <t xml:space="preserve">Transport + épandage dig calculé </t>
    </r>
    <r>
      <rPr>
        <sz val="10"/>
        <color rgb="FF000000"/>
        <rFont val="Calibri"/>
        <family val="2"/>
        <scheme val="minor"/>
      </rPr>
      <t>(amortissement)</t>
    </r>
  </si>
  <si>
    <r>
      <t>Location poste</t>
    </r>
    <r>
      <rPr>
        <sz val="10"/>
        <color rgb="FF000000"/>
        <rFont val="Calibri"/>
        <family val="2"/>
        <scheme val="minor"/>
      </rPr>
      <t xml:space="preserve"> (injection, utilisation de réseau)</t>
    </r>
  </si>
  <si>
    <r>
      <t xml:space="preserve">Frais d'analyse </t>
    </r>
    <r>
      <rPr>
        <sz val="10"/>
        <color rgb="FF000000"/>
        <rFont val="Calibri"/>
        <family val="2"/>
        <scheme val="minor"/>
      </rPr>
      <t>(biogaz/digestat)</t>
    </r>
    <r>
      <rPr>
        <sz val="12"/>
        <color rgb="FF000000"/>
        <rFont val="Calibri"/>
        <family val="2"/>
        <scheme val="minor"/>
      </rPr>
      <t xml:space="preserve">, suivi </t>
    </r>
    <r>
      <rPr>
        <sz val="10"/>
        <color rgb="FF000000"/>
        <rFont val="Calibri"/>
        <family val="2"/>
        <scheme val="minor"/>
      </rPr>
      <t>(technique /biologique)</t>
    </r>
  </si>
  <si>
    <r>
      <t xml:space="preserve">Autres charges </t>
    </r>
    <r>
      <rPr>
        <sz val="10"/>
        <color rgb="FF000000"/>
        <rFont val="Calibri"/>
        <family val="2"/>
        <scheme val="minor"/>
      </rPr>
      <t>(services administratifs, cotisations)</t>
    </r>
  </si>
  <si>
    <r>
      <rPr>
        <sz val="12"/>
        <color rgb="FF000000"/>
        <rFont val="Calibri"/>
        <family val="2"/>
        <scheme val="minor"/>
      </rPr>
      <t xml:space="preserve">Rémunération personnel + charges sociales, 
</t>
    </r>
    <r>
      <rPr>
        <sz val="10"/>
        <color rgb="FF000000"/>
        <rFont val="Calibri"/>
        <family val="2"/>
        <scheme val="minor"/>
      </rPr>
      <t>y compris personnel extérieur</t>
    </r>
  </si>
  <si>
    <t>Résidus de cultures/ issues/ coproduits/ drêches</t>
  </si>
  <si>
    <t>CIVE / cultures dérobées / ensilages d'herbe</t>
  </si>
  <si>
    <r>
      <t xml:space="preserve">Déchets IAA </t>
    </r>
    <r>
      <rPr>
        <i/>
        <sz val="10"/>
        <color rgb="FF000000"/>
        <rFont val="Calibri"/>
        <family val="2"/>
        <scheme val="minor"/>
      </rPr>
      <t>(graisses, lacto,stercoraires, glycérine)</t>
    </r>
  </si>
  <si>
    <r>
      <t xml:space="preserve">Stockage </t>
    </r>
    <r>
      <rPr>
        <u/>
        <sz val="12"/>
        <color theme="1"/>
        <rFont val="Calibri"/>
        <family val="2"/>
        <scheme val="minor"/>
      </rPr>
      <t>total</t>
    </r>
    <r>
      <rPr>
        <sz val="12"/>
        <color theme="1"/>
        <rFont val="Calibri"/>
        <family val="2"/>
        <scheme val="minor"/>
      </rPr>
      <t xml:space="preserve"> digestat liquide/brut</t>
    </r>
    <r>
      <rPr>
        <sz val="10"/>
        <color theme="1"/>
        <rFont val="Calibri"/>
        <family val="2"/>
        <scheme val="minor"/>
      </rPr>
      <t xml:space="preserve"> (y compris déporté)</t>
    </r>
  </si>
  <si>
    <t>€co métha : Connaitre mon cout de production</t>
  </si>
  <si>
    <t>Produit brut</t>
  </si>
  <si>
    <t>Coûts de production</t>
  </si>
  <si>
    <t>Valo gaz :</t>
  </si>
  <si>
    <r>
      <t xml:space="preserve">Maintenance/entretien process </t>
    </r>
    <r>
      <rPr>
        <sz val="10"/>
        <color rgb="FF000000"/>
        <rFont val="Calibri"/>
        <family val="2"/>
        <scheme val="minor"/>
      </rPr>
      <t>(charge amortissable)</t>
    </r>
  </si>
  <si>
    <r>
      <rPr>
        <sz val="11.5"/>
        <color theme="1"/>
        <rFont val="Calibri"/>
        <family val="2"/>
        <scheme val="minor"/>
      </rPr>
      <t xml:space="preserve">Frais d'analyse </t>
    </r>
    <r>
      <rPr>
        <sz val="10"/>
        <color theme="1"/>
        <rFont val="Calibri"/>
        <family val="2"/>
        <scheme val="minor"/>
      </rPr>
      <t>(biogaz/digestat)</t>
    </r>
    <r>
      <rPr>
        <sz val="11.5"/>
        <color theme="1"/>
        <rFont val="Calibri"/>
        <family val="2"/>
        <scheme val="minor"/>
      </rPr>
      <t>, suivi</t>
    </r>
    <r>
      <rPr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(technique /biologique)</t>
    </r>
  </si>
  <si>
    <r>
      <rPr>
        <sz val="11.5"/>
        <color theme="1"/>
        <rFont val="Calibri"/>
        <family val="2"/>
        <scheme val="minor"/>
      </rPr>
      <t xml:space="preserve">Autres charges </t>
    </r>
    <r>
      <rPr>
        <sz val="10"/>
        <color theme="1"/>
        <rFont val="Calibri"/>
        <family val="2"/>
        <scheme val="minor"/>
      </rPr>
      <t>(services administratifs, cotisations)</t>
    </r>
  </si>
  <si>
    <r>
      <rPr>
        <sz val="11.5"/>
        <color theme="1"/>
        <rFont val="Calibri"/>
        <family val="2"/>
        <scheme val="minor"/>
      </rPr>
      <t xml:space="preserve">Maintenance/entretien process </t>
    </r>
    <r>
      <rPr>
        <sz val="10"/>
        <color theme="1"/>
        <rFont val="Calibri"/>
        <family val="2"/>
        <scheme val="minor"/>
      </rPr>
      <t>(charge amortissable)</t>
    </r>
  </si>
  <si>
    <r>
      <rPr>
        <sz val="11.5"/>
        <color theme="1"/>
        <rFont val="Calibri"/>
        <family val="2"/>
        <scheme val="minor"/>
      </rPr>
      <t xml:space="preserve">Transport matières premières calculé </t>
    </r>
    <r>
      <rPr>
        <sz val="10"/>
        <color theme="1"/>
        <rFont val="Calibri"/>
        <family val="2"/>
        <scheme val="minor"/>
      </rPr>
      <t>(amortissement)</t>
    </r>
  </si>
  <si>
    <r>
      <rPr>
        <sz val="11.5"/>
        <color theme="1"/>
        <rFont val="Calibri"/>
        <family val="2"/>
        <scheme val="minor"/>
      </rPr>
      <t xml:space="preserve">Transport + épandage dig calculé </t>
    </r>
    <r>
      <rPr>
        <sz val="10"/>
        <color theme="1"/>
        <rFont val="Calibri"/>
        <family val="2"/>
        <scheme val="minor"/>
      </rPr>
      <t>(amortissement)</t>
    </r>
  </si>
  <si>
    <r>
      <rPr>
        <sz val="11.5"/>
        <color theme="1"/>
        <rFont val="Calibri"/>
        <family val="2"/>
        <scheme val="minor"/>
      </rPr>
      <t xml:space="preserve">Indemnité gérance </t>
    </r>
    <r>
      <rPr>
        <sz val="10"/>
        <color theme="1"/>
        <rFont val="Calibri"/>
        <family val="2"/>
        <scheme val="minor"/>
      </rPr>
      <t>(SARL, SCEA)</t>
    </r>
    <r>
      <rPr>
        <sz val="11.5"/>
        <color theme="1"/>
        <rFont val="Calibri"/>
        <family val="2"/>
        <scheme val="minor"/>
      </rPr>
      <t xml:space="preserve"> ou jeton de présence</t>
    </r>
    <r>
      <rPr>
        <sz val="10"/>
        <color theme="1"/>
        <rFont val="Calibri"/>
        <family val="2"/>
        <scheme val="minor"/>
      </rPr>
      <t xml:space="preserve"> (SAS)</t>
    </r>
  </si>
  <si>
    <r>
      <rPr>
        <sz val="11.5"/>
        <color theme="1"/>
        <rFont val="Calibri"/>
        <family val="2"/>
        <scheme val="minor"/>
      </rPr>
      <t>Location poste</t>
    </r>
    <r>
      <rPr>
        <sz val="10"/>
        <color theme="1"/>
        <rFont val="Calibri"/>
        <family val="2"/>
        <scheme val="minor"/>
      </rPr>
      <t xml:space="preserve"> (injection, utilisation de réseau)</t>
    </r>
  </si>
  <si>
    <t>Mises aux normes</t>
  </si>
  <si>
    <t>Mises aux normes réalisées</t>
  </si>
  <si>
    <t>Mises aux normes à venir</t>
  </si>
  <si>
    <t>Redevances traitement déchets (€)</t>
  </si>
  <si>
    <t>Vente digestat (€)</t>
  </si>
  <si>
    <t>En €/tonne entrante</t>
  </si>
  <si>
    <t>En €/MWH vendu</t>
  </si>
  <si>
    <t>Digestat brut</t>
  </si>
  <si>
    <t>Digestat liquide</t>
  </si>
  <si>
    <t>Digestat solide</t>
  </si>
  <si>
    <t>Total intrants</t>
  </si>
  <si>
    <t>Indicateurs techniques sur la production d'énergie</t>
  </si>
  <si>
    <t>Maintenance/entretien valorisations annexes / Maintenances exceptionnelles</t>
  </si>
  <si>
    <r>
      <t>Maintenance/entretien valorisations annexes / Maintenances exceptionnelles</t>
    </r>
    <r>
      <rPr>
        <sz val="10"/>
        <color theme="1"/>
        <rFont val="Calibri"/>
        <family val="2"/>
        <scheme val="minor"/>
      </rPr>
      <t xml:space="preserve"> (charge amortissable)</t>
    </r>
  </si>
  <si>
    <t xml:space="preserve">Outil de calcul de cout de production basé sur la méthodologie Prodige/ADEME </t>
  </si>
  <si>
    <r>
      <t xml:space="preserve">Pour les détails sur le remplissage, </t>
    </r>
    <r>
      <rPr>
        <b/>
        <sz val="12"/>
        <color theme="1"/>
        <rFont val="Calibri"/>
        <family val="2"/>
        <scheme val="minor"/>
      </rPr>
      <t>se référer au mode d'emploi en Pdf</t>
    </r>
    <r>
      <rPr>
        <sz val="12"/>
        <color theme="1"/>
        <rFont val="Calibri"/>
        <family val="2"/>
        <scheme val="minor"/>
      </rPr>
      <t xml:space="preserve"> fourni avec l'outil. Pour toute autre question, contacter l'animateur AAMF : Adrien Dain - 07 64 75 40 91. </t>
    </r>
    <r>
      <rPr>
        <b/>
        <sz val="12"/>
        <color theme="1"/>
        <rFont val="Calibri"/>
        <family val="2"/>
        <scheme val="minor"/>
      </rPr>
      <t xml:space="preserve">L'enquête est également à renvoyer à </t>
    </r>
    <r>
      <rPr>
        <b/>
        <sz val="12"/>
        <color rgb="FFFF0000"/>
        <rFont val="Calibri"/>
        <family val="2"/>
        <scheme val="minor"/>
      </rPr>
      <t>adain@aamf.fr</t>
    </r>
  </si>
  <si>
    <t xml:space="preserve">
</t>
  </si>
  <si>
    <r>
      <t xml:space="preserve">
</t>
    </r>
    <r>
      <rPr>
        <i/>
        <sz val="12"/>
        <color theme="1"/>
        <rFont val="Calibri"/>
        <family val="2"/>
        <scheme val="minor"/>
      </rPr>
      <t>Astuce pour revenir à la ligne : Alt + Enter</t>
    </r>
  </si>
  <si>
    <t>Dotations aux amortissements  de la construction initiale - rb subvention</t>
  </si>
  <si>
    <t>Maintenance/entretien valorisations annexes / Maintenances exceptionnelles (charge amortissable)</t>
  </si>
  <si>
    <t>Réalisé</t>
  </si>
  <si>
    <t>Puissance</t>
  </si>
  <si>
    <t>Raccordement réseau gaz</t>
  </si>
  <si>
    <t>Épurateur</t>
  </si>
  <si>
    <t>Tuyauterie</t>
  </si>
  <si>
    <t>Générateur O2</t>
  </si>
  <si>
    <t>Dalle béton + terrassement</t>
  </si>
  <si>
    <t>Changement de puissance souscrite au soutirage</t>
  </si>
  <si>
    <t>Revamping</t>
  </si>
  <si>
    <t>Total CAPEX</t>
  </si>
  <si>
    <t>kWé</t>
  </si>
  <si>
    <t>Nm3/h</t>
  </si>
  <si>
    <t>Débit d'injection équivalent</t>
  </si>
  <si>
    <t>Rendement moteur (électrique)</t>
  </si>
  <si>
    <t>k€</t>
  </si>
  <si>
    <t>Production annuelle prévisionnelle</t>
  </si>
  <si>
    <t>GWh PCS/an</t>
  </si>
  <si>
    <t>INVESTISSEMENT - conversion au biométhane injecté</t>
  </si>
  <si>
    <t>Taux d'emprunt</t>
  </si>
  <si>
    <t>Nombre d'années d'endettements</t>
  </si>
  <si>
    <t>ans</t>
  </si>
  <si>
    <t>k€/an</t>
  </si>
  <si>
    <t>Annuités estimées</t>
  </si>
  <si>
    <t>Remarques</t>
  </si>
  <si>
    <t>EXPLOITATION - Coût prévisionnel de production</t>
  </si>
  <si>
    <t>Dont électricité</t>
  </si>
  <si>
    <t>Nouvelles charges de maintenance</t>
  </si>
  <si>
    <t>APPROVISIONNEMENT</t>
  </si>
  <si>
    <t>INVESTISSEMENT INITIAL</t>
  </si>
  <si>
    <t>INVESTISSEMENT CONVERSION</t>
  </si>
  <si>
    <t>€/MWh PCS</t>
  </si>
  <si>
    <t>Cout prod moy 23</t>
  </si>
  <si>
    <t xml:space="preserve">TOTAL </t>
  </si>
  <si>
    <t>INVESTISSEMENT</t>
  </si>
  <si>
    <t>Autres nouvelles charges liées à la conversion</t>
  </si>
  <si>
    <t>Dont maintenance injection</t>
  </si>
  <si>
    <t>Puissance et rendement du moteur de cogénération reprise depuis la saisie de l'année 2024</t>
  </si>
  <si>
    <t>Un équivalent en débit d'injection par rapport à la puissance de 2024 et à un PCI de 9,7 kWh/Nm3 bioCH4</t>
  </si>
  <si>
    <t>Modifier le volume de production si modification du gisement en intrants (donnée selon un base de production de 8200h à titre d'exemple)</t>
  </si>
  <si>
    <t>Nouvelle tuyauterie gaz sur site</t>
  </si>
  <si>
    <t>Générateur O2 pour pilotage de la désulfurisation</t>
  </si>
  <si>
    <t>Sur les parties épuration et injection seulement</t>
  </si>
  <si>
    <t>Prévoir une consommation électrique multipliée par 3</t>
  </si>
  <si>
    <t>Calcul approximatif des annuités sans apport de capital au lancement</t>
  </si>
  <si>
    <t>Reporter les nouveaux contrats de maintenance lié à l'épuration</t>
  </si>
  <si>
    <t>Contrat poste d'injection GRD/GRT</t>
  </si>
  <si>
    <t>Contrat de fonctionnement du poste d'injection</t>
  </si>
  <si>
    <t>Ingénierie</t>
  </si>
  <si>
    <t xml:space="preserve">Montant incluant la subvention au raccordement, inclure les frais liés aux études de raccordement. À titre indicatif sur réseau de distribution : 116 k€/km pour une réfaction possible à hauteur de 60% et au maximum de 600 k€ soit sur 1 M€ de coût total de raccordement. </t>
  </si>
  <si>
    <t>Si recours à un BE, prestation de cabinet comptable ou autre</t>
  </si>
  <si>
    <t>Report des valeurs d'€cométha 2024 plus nouvelles charges de cet onglet</t>
  </si>
  <si>
    <t>"</t>
  </si>
  <si>
    <t>Calcul à partir des données de cet onglet</t>
  </si>
  <si>
    <t>À titre indicatif (10% de conso élec)</t>
  </si>
  <si>
    <t>Cogé effluents 2023</t>
  </si>
  <si>
    <t>Injection 2023</t>
  </si>
  <si>
    <t>Produit moyen 23</t>
  </si>
  <si>
    <t>Inflation sur la durée de l'après-contrat (C18)</t>
  </si>
  <si>
    <t>Hypothèse pour une simulation complète</t>
  </si>
  <si>
    <t>TOTAL inflaté (moy)</t>
  </si>
  <si>
    <t>Inflation</t>
  </si>
  <si>
    <t>Indexation</t>
  </si>
  <si>
    <t>moyenne</t>
  </si>
  <si>
    <t>Cet onglet de simulation fonctionne à partir des données d'exploitation renseignées dans l'onglet 2024 uniquement</t>
  </si>
  <si>
    <t>Cette charge est la moyenne du remboursement des emprunts liés à l'unité initiale sur les années à venir en contrat gré à gré</t>
  </si>
  <si>
    <t>Votre coût de revient de départ. À faire varier sur plusieurs années avec des hypothèses d'inflation et d'évolution des charges.</t>
  </si>
  <si>
    <t>Description</t>
  </si>
  <si>
    <t>Durée et taux d'intérêt du nouvel emprunt pour financer la conversion</t>
  </si>
  <si>
    <t>Inclure tous les travaux de remise à niveau de l'installation (protection des béton à l'intérieur des digesteurs, mise aux normes ICPE, investissement lié à la RED,...) ainsi que des provisions sur la durée du nouveau contrat pour remplacement d'équipement. L'étude de SOLAGRO estime à 21% de l'investissement initial pour un revamping sur 15ans. Exemples SOLAGRO : 250 kW base effluents -&gt; 686 k€; 500 kW base effluents -&gt; 1134 k€</t>
  </si>
  <si>
    <r>
      <t xml:space="preserve">En technologie membranaire le débit détermine la taille du compresseur et donc le montant à investir. </t>
    </r>
    <r>
      <rPr>
        <i/>
        <sz val="9"/>
        <color theme="1"/>
        <rFont val="Calibri"/>
        <family val="2"/>
        <scheme val="minor"/>
      </rPr>
      <t>Exemple pour 250 kW -&gt; 1M€; pour 500 kW -&gt; 1,12 M€</t>
    </r>
  </si>
  <si>
    <t>Moyenne, sur la durée de l'emprunt, de votre coût de revient tout compris inflaté tous les ans sauf pour les amortissements</t>
  </si>
  <si>
    <t>Proportion de l'investissement initial remboursé</t>
  </si>
  <si>
    <t>La part de l'investissement inital déjà remboursé à la banque pendant la période du contrat OA jusqu'à la conversion.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</si>
</sst>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#,##0.00\ &quot;€&quot;;[Red]\-#,##0.00\ &quot;€&quot;"/>
    <numFmt numFmtId="164" formatCode="_ * #,##0.00_)\ &quot;€&quot;_ ;_ * \(#,##0.00\)\ &quot;€&quot;_ ;_ * &quot;-&quot;??_)\ &quot;€&quot;_ ;_ @_ "/>
    <numFmt numFmtId="165" formatCode="_-* #,##0.00\ [$€-40C]_-;\-* #,##0.00\ [$€-40C]_-;_-* &quot;-&quot;??\ [$€-40C]_-;_-@_-"/>
    <numFmt numFmtId="166" formatCode="###&quot; &quot;###&quot; &quot;###"/>
    <numFmt numFmtId="167" formatCode="###&quot; &quot;###"/>
    <numFmt numFmtId="168" formatCode="_-* #,##0\ [$€-40C]_-;\-* #,##0\ [$€-40C]_-;_-* &quot;-&quot;\ [$€-40C]_-;_-@_-"/>
    <numFmt numFmtId="169" formatCode="#,##0_ ;\-#,##0\ "/>
    <numFmt numFmtId="170" formatCode="0.0%"/>
    <numFmt numFmtId="171" formatCode="#,###&quot; T &quot;"/>
    <numFmt numFmtId="172" formatCode="#,##0.000"/>
    <numFmt numFmtId="173" formatCode="#,##0.0"/>
    <numFmt numFmtId="174" formatCode="0.0"/>
    <numFmt numFmtId="175" formatCode="_-* #,##0\ [$€-40C]_-;\-* #,##0\ [$€-40C]_-;_-* &quot;-&quot;??\ [$€-40C]_-;_-@_-"/>
    <numFmt numFmtId="176" formatCode="_-* #,##0\ [$€-40C]_-;\-* #,##0\ [$€-40C]_-;_-* &quot;-&quot;???\ [$€-40C]_-;_-@_-"/>
    <numFmt numFmtId="177" formatCode="00000"/>
    <numFmt numFmtId="178" formatCode="##.&quot; &quot;###"/>
  </numFmts>
  <fonts count="7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u/>
      <sz val="15"/>
      <color rgb="FF00B050"/>
      <name val="Calibri"/>
      <family val="2"/>
      <scheme val="minor"/>
    </font>
    <font>
      <sz val="12"/>
      <name val="Calibri"/>
      <family val="2"/>
      <scheme val="minor"/>
    </font>
    <font>
      <i/>
      <sz val="12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9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u/>
      <sz val="16"/>
      <color rgb="FF000000"/>
      <name val="Verdana"/>
      <family val="2"/>
      <charset val="1"/>
    </font>
    <font>
      <sz val="7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6"/>
      <color theme="1" tint="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i/>
      <sz val="11"/>
      <color theme="0" tint="-0.1499984740745262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2"/>
      <color theme="2" tint="-0.249977111117893"/>
      <name val="Calibri"/>
      <family val="2"/>
      <scheme val="minor"/>
    </font>
    <font>
      <sz val="10"/>
      <color theme="2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1" fillId="0" borderId="0"/>
    <xf numFmtId="0" fontId="54" fillId="0" borderId="0" applyNumberFormat="0" applyFill="0" applyBorder="0" applyAlignment="0" applyProtection="0"/>
  </cellStyleXfs>
  <cellXfs count="474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 applyAlignment="1">
      <alignment horizontal="center" vertical="center"/>
    </xf>
    <xf numFmtId="0" fontId="10" fillId="0" borderId="0" xfId="0" applyFont="1"/>
    <xf numFmtId="0" fontId="14" fillId="0" borderId="0" xfId="0" applyFont="1"/>
    <xf numFmtId="0" fontId="9" fillId="0" borderId="0" xfId="0" applyFont="1"/>
    <xf numFmtId="0" fontId="16" fillId="0" borderId="0" xfId="0" applyFont="1" applyAlignment="1">
      <alignment horizontal="center"/>
    </xf>
    <xf numFmtId="0" fontId="20" fillId="0" borderId="0" xfId="0" applyFont="1"/>
    <xf numFmtId="0" fontId="22" fillId="0" borderId="0" xfId="0" applyFont="1"/>
    <xf numFmtId="0" fontId="21" fillId="0" borderId="0" xfId="0" applyFont="1"/>
    <xf numFmtId="0" fontId="20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0" fillId="0" borderId="12" xfId="0" applyBorder="1"/>
    <xf numFmtId="0" fontId="0" fillId="0" borderId="12" xfId="0" applyBorder="1" applyAlignment="1">
      <alignment wrapText="1"/>
    </xf>
    <xf numFmtId="0" fontId="9" fillId="0" borderId="14" xfId="0" applyFont="1" applyBorder="1" applyAlignment="1">
      <alignment wrapText="1"/>
    </xf>
    <xf numFmtId="0" fontId="24" fillId="0" borderId="0" xfId="0" applyFont="1" applyAlignment="1">
      <alignment horizontal="left"/>
    </xf>
    <xf numFmtId="0" fontId="25" fillId="0" borderId="0" xfId="0" applyFont="1"/>
    <xf numFmtId="0" fontId="16" fillId="0" borderId="0" xfId="0" applyFont="1"/>
    <xf numFmtId="0" fontId="12" fillId="0" borderId="0" xfId="0" applyFont="1" applyAlignment="1">
      <alignment horizontal="center"/>
    </xf>
    <xf numFmtId="168" fontId="0" fillId="0" borderId="0" xfId="1" applyNumberFormat="1" applyFont="1" applyBorder="1" applyAlignment="1">
      <alignment horizontal="center" vertical="center"/>
    </xf>
    <xf numFmtId="0" fontId="27" fillId="0" borderId="0" xfId="0" applyFont="1"/>
    <xf numFmtId="0" fontId="15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31" fillId="0" borderId="0" xfId="0" applyFont="1"/>
    <xf numFmtId="0" fontId="7" fillId="0" borderId="0" xfId="0" applyFont="1"/>
    <xf numFmtId="0" fontId="30" fillId="0" borderId="0" xfId="0" applyFont="1"/>
    <xf numFmtId="0" fontId="34" fillId="0" borderId="0" xfId="0" applyFont="1"/>
    <xf numFmtId="0" fontId="35" fillId="0" borderId="0" xfId="0" applyFont="1"/>
    <xf numFmtId="168" fontId="19" fillId="0" borderId="0" xfId="0" applyNumberFormat="1" applyFont="1" applyAlignment="1">
      <alignment horizontal="center" vertical="center"/>
    </xf>
    <xf numFmtId="165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168" fontId="34" fillId="0" borderId="0" xfId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0" applyFont="1"/>
    <xf numFmtId="0" fontId="9" fillId="0" borderId="12" xfId="0" applyFont="1" applyBorder="1" applyAlignment="1">
      <alignment horizontal="left"/>
    </xf>
    <xf numFmtId="168" fontId="15" fillId="0" borderId="14" xfId="0" applyNumberFormat="1" applyFont="1" applyBorder="1" applyAlignment="1">
      <alignment horizontal="center" vertical="center"/>
    </xf>
    <xf numFmtId="0" fontId="24" fillId="2" borderId="0" xfId="0" applyFont="1" applyFill="1"/>
    <xf numFmtId="0" fontId="24" fillId="4" borderId="0" xfId="0" applyFont="1" applyFill="1" applyAlignment="1">
      <alignment horizontal="left"/>
    </xf>
    <xf numFmtId="0" fontId="32" fillId="4" borderId="0" xfId="0" applyFont="1" applyFill="1"/>
    <xf numFmtId="0" fontId="20" fillId="4" borderId="0" xfId="0" applyFont="1" applyFill="1"/>
    <xf numFmtId="0" fontId="38" fillId="4" borderId="0" xfId="0" applyFont="1" applyFill="1" applyAlignment="1">
      <alignment horizontal="left"/>
    </xf>
    <xf numFmtId="0" fontId="24" fillId="4" borderId="0" xfId="0" applyFont="1" applyFill="1"/>
    <xf numFmtId="0" fontId="28" fillId="4" borderId="0" xfId="0" applyFont="1" applyFill="1" applyAlignment="1">
      <alignment horizontal="left"/>
    </xf>
    <xf numFmtId="169" fontId="0" fillId="0" borderId="22" xfId="0" applyNumberFormat="1" applyBorder="1"/>
    <xf numFmtId="0" fontId="9" fillId="0" borderId="21" xfId="0" applyFont="1" applyBorder="1" applyAlignment="1">
      <alignment horizontal="left"/>
    </xf>
    <xf numFmtId="0" fontId="0" fillId="0" borderId="21" xfId="0" applyBorder="1"/>
    <xf numFmtId="0" fontId="9" fillId="0" borderId="20" xfId="0" applyFont="1" applyBorder="1"/>
    <xf numFmtId="169" fontId="0" fillId="0" borderId="22" xfId="0" applyNumberFormat="1" applyBorder="1" applyAlignment="1">
      <alignment horizontal="left" vertical="center"/>
    </xf>
    <xf numFmtId="170" fontId="24" fillId="2" borderId="0" xfId="0" applyNumberFormat="1" applyFont="1" applyFill="1"/>
    <xf numFmtId="0" fontId="16" fillId="0" borderId="12" xfId="0" applyFont="1" applyBorder="1"/>
    <xf numFmtId="170" fontId="38" fillId="2" borderId="0" xfId="0" applyNumberFormat="1" applyFont="1" applyFill="1"/>
    <xf numFmtId="0" fontId="20" fillId="2" borderId="0" xfId="0" applyFont="1" applyFill="1"/>
    <xf numFmtId="168" fontId="39" fillId="2" borderId="0" xfId="0" applyNumberFormat="1" applyFont="1" applyFill="1" applyAlignment="1">
      <alignment horizontal="center"/>
    </xf>
    <xf numFmtId="0" fontId="15" fillId="0" borderId="14" xfId="0" applyFont="1" applyBorder="1" applyAlignment="1">
      <alignment wrapText="1"/>
    </xf>
    <xf numFmtId="0" fontId="18" fillId="0" borderId="12" xfId="0" applyFont="1" applyBorder="1" applyAlignment="1">
      <alignment horizontal="left"/>
    </xf>
    <xf numFmtId="0" fontId="15" fillId="0" borderId="7" xfId="0" applyFont="1" applyBorder="1" applyAlignment="1">
      <alignment horizontal="center"/>
    </xf>
    <xf numFmtId="0" fontId="0" fillId="5" borderId="12" xfId="0" applyFill="1" applyBorder="1"/>
    <xf numFmtId="171" fontId="0" fillId="0" borderId="12" xfId="0" applyNumberFormat="1" applyBorder="1" applyAlignment="1">
      <alignment horizontal="center" vertical="center"/>
    </xf>
    <xf numFmtId="171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right" wrapText="1"/>
    </xf>
    <xf numFmtId="0" fontId="18" fillId="0" borderId="12" xfId="0" applyFont="1" applyBorder="1" applyAlignment="1">
      <alignment horizontal="right"/>
    </xf>
    <xf numFmtId="0" fontId="33" fillId="2" borderId="0" xfId="0" applyFont="1" applyFill="1" applyAlignment="1">
      <alignment horizontal="center"/>
    </xf>
    <xf numFmtId="0" fontId="0" fillId="0" borderId="20" xfId="0" applyBorder="1"/>
    <xf numFmtId="0" fontId="13" fillId="0" borderId="0" xfId="0" applyFont="1" applyAlignment="1">
      <alignment vertical="center"/>
    </xf>
    <xf numFmtId="0" fontId="43" fillId="2" borderId="0" xfId="0" applyFont="1" applyFill="1"/>
    <xf numFmtId="0" fontId="44" fillId="2" borderId="0" xfId="0" applyFont="1" applyFill="1"/>
    <xf numFmtId="168" fontId="0" fillId="0" borderId="12" xfId="0" applyNumberForma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168" fontId="11" fillId="5" borderId="12" xfId="0" applyNumberFormat="1" applyFont="1" applyFill="1" applyBorder="1" applyAlignment="1">
      <alignment horizontal="center" vertical="center"/>
    </xf>
    <xf numFmtId="0" fontId="5" fillId="0" borderId="0" xfId="0" applyFont="1"/>
    <xf numFmtId="0" fontId="0" fillId="0" borderId="14" xfId="0" applyBorder="1"/>
    <xf numFmtId="0" fontId="0" fillId="0" borderId="0" xfId="0" applyAlignment="1">
      <alignment horizontal="center" vertical="top"/>
    </xf>
    <xf numFmtId="0" fontId="46" fillId="0" borderId="12" xfId="0" applyFont="1" applyBorder="1" applyAlignment="1">
      <alignment horizontal="left"/>
    </xf>
    <xf numFmtId="168" fontId="0" fillId="0" borderId="33" xfId="0" applyNumberFormat="1" applyBorder="1" applyAlignment="1">
      <alignment horizontal="left"/>
    </xf>
    <xf numFmtId="168" fontId="0" fillId="0" borderId="33" xfId="0" applyNumberFormat="1" applyBorder="1"/>
    <xf numFmtId="9" fontId="33" fillId="0" borderId="12" xfId="0" applyNumberFormat="1" applyFont="1" applyBorder="1" applyAlignment="1">
      <alignment horizontal="center"/>
    </xf>
    <xf numFmtId="168" fontId="0" fillId="0" borderId="27" xfId="0" applyNumberFormat="1" applyBorder="1" applyAlignment="1">
      <alignment horizontal="left"/>
    </xf>
    <xf numFmtId="168" fontId="0" fillId="0" borderId="29" xfId="0" applyNumberFormat="1" applyBorder="1"/>
    <xf numFmtId="9" fontId="5" fillId="0" borderId="19" xfId="2" applyFont="1" applyBorder="1"/>
    <xf numFmtId="9" fontId="5" fillId="0" borderId="13" xfId="2" applyFont="1" applyBorder="1"/>
    <xf numFmtId="168" fontId="0" fillId="0" borderId="37" xfId="0" applyNumberFormat="1" applyBorder="1" applyAlignment="1">
      <alignment horizontal="left"/>
    </xf>
    <xf numFmtId="9" fontId="5" fillId="0" borderId="15" xfId="2" applyFont="1" applyBorder="1"/>
    <xf numFmtId="168" fontId="0" fillId="0" borderId="21" xfId="0" applyNumberFormat="1" applyBorder="1"/>
    <xf numFmtId="0" fontId="7" fillId="0" borderId="12" xfId="0" applyFont="1" applyBorder="1"/>
    <xf numFmtId="9" fontId="7" fillId="0" borderId="13" xfId="2" applyFont="1" applyBorder="1"/>
    <xf numFmtId="9" fontId="7" fillId="0" borderId="15" xfId="2" applyFont="1" applyBorder="1"/>
    <xf numFmtId="0" fontId="0" fillId="0" borderId="0" xfId="0" applyProtection="1">
      <protection locked="0"/>
    </xf>
    <xf numFmtId="0" fontId="24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170" fontId="24" fillId="2" borderId="0" xfId="0" applyNumberFormat="1" applyFont="1" applyFill="1" applyAlignment="1">
      <alignment horizontal="center"/>
    </xf>
    <xf numFmtId="0" fontId="0" fillId="0" borderId="1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168" fontId="15" fillId="0" borderId="35" xfId="0" applyNumberFormat="1" applyFont="1" applyBorder="1" applyAlignment="1">
      <alignment horizontal="center" vertical="center"/>
    </xf>
    <xf numFmtId="168" fontId="15" fillId="0" borderId="30" xfId="0" applyNumberFormat="1" applyFont="1" applyBorder="1" applyAlignment="1">
      <alignment horizontal="center" vertical="center"/>
    </xf>
    <xf numFmtId="0" fontId="34" fillId="0" borderId="32" xfId="0" applyFont="1" applyBorder="1" applyAlignment="1">
      <alignment horizontal="left"/>
    </xf>
    <xf numFmtId="0" fontId="34" fillId="0" borderId="16" xfId="0" applyFont="1" applyBorder="1" applyAlignment="1">
      <alignment horizontal="left"/>
    </xf>
    <xf numFmtId="168" fontId="15" fillId="0" borderId="0" xfId="0" applyNumberFormat="1" applyFont="1" applyAlignment="1">
      <alignment horizontal="center" vertical="center"/>
    </xf>
    <xf numFmtId="0" fontId="48" fillId="0" borderId="0" xfId="0" applyFont="1" applyAlignment="1" applyProtection="1">
      <alignment horizontal="center" vertical="center" wrapText="1"/>
      <protection locked="0"/>
    </xf>
    <xf numFmtId="168" fontId="0" fillId="0" borderId="0" xfId="0" applyNumberFormat="1"/>
    <xf numFmtId="9" fontId="7" fillId="0" borderId="0" xfId="2" applyFont="1" applyBorder="1"/>
    <xf numFmtId="0" fontId="0" fillId="0" borderId="7" xfId="0" applyBorder="1"/>
    <xf numFmtId="0" fontId="9" fillId="0" borderId="4" xfId="0" applyFont="1" applyBorder="1"/>
    <xf numFmtId="0" fontId="9" fillId="0" borderId="5" xfId="0" applyFont="1" applyBorder="1" applyAlignment="1">
      <alignment wrapText="1"/>
    </xf>
    <xf numFmtId="0" fontId="9" fillId="0" borderId="21" xfId="0" applyFont="1" applyBorder="1"/>
    <xf numFmtId="0" fontId="9" fillId="0" borderId="14" xfId="0" applyFont="1" applyBorder="1"/>
    <xf numFmtId="0" fontId="12" fillId="0" borderId="2" xfId="0" applyFont="1" applyBorder="1" applyAlignment="1">
      <alignment horizontal="center"/>
    </xf>
    <xf numFmtId="0" fontId="20" fillId="0" borderId="0" xfId="0" applyFont="1" applyAlignment="1" applyProtection="1">
      <alignment horizontal="left" vertical="center"/>
      <protection locked="0"/>
    </xf>
    <xf numFmtId="0" fontId="11" fillId="3" borderId="12" xfId="0" applyFont="1" applyFill="1" applyBorder="1" applyAlignment="1">
      <alignment vertical="center" wrapText="1"/>
    </xf>
    <xf numFmtId="0" fontId="42" fillId="3" borderId="12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/>
    </xf>
    <xf numFmtId="168" fontId="9" fillId="0" borderId="38" xfId="0" applyNumberFormat="1" applyFont="1" applyBorder="1" applyAlignment="1">
      <alignment horizontal="right"/>
    </xf>
    <xf numFmtId="168" fontId="9" fillId="0" borderId="39" xfId="0" applyNumberFormat="1" applyFont="1" applyBorder="1" applyAlignment="1">
      <alignment horizontal="right"/>
    </xf>
    <xf numFmtId="0" fontId="15" fillId="0" borderId="21" xfId="0" applyFont="1" applyBorder="1" applyAlignment="1">
      <alignment horizontal="center"/>
    </xf>
    <xf numFmtId="168" fontId="9" fillId="0" borderId="14" xfId="0" applyNumberFormat="1" applyFont="1" applyBorder="1" applyAlignment="1">
      <alignment horizontal="center" vertical="center"/>
    </xf>
    <xf numFmtId="168" fontId="0" fillId="5" borderId="12" xfId="0" applyNumberFormat="1" applyFill="1" applyBorder="1" applyAlignment="1">
      <alignment horizontal="center" vertical="center"/>
    </xf>
    <xf numFmtId="167" fontId="13" fillId="5" borderId="5" xfId="0" applyNumberFormat="1" applyFont="1" applyFill="1" applyBorder="1" applyAlignment="1" applyProtection="1">
      <alignment horizontal="right"/>
      <protection locked="0"/>
    </xf>
    <xf numFmtId="0" fontId="9" fillId="0" borderId="12" xfId="0" applyFont="1" applyBorder="1"/>
    <xf numFmtId="0" fontId="37" fillId="5" borderId="2" xfId="0" applyFont="1" applyFill="1" applyBorder="1"/>
    <xf numFmtId="0" fontId="35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10" fillId="0" borderId="0" xfId="0" applyFont="1" applyAlignment="1">
      <alignment horizontal="right"/>
    </xf>
    <xf numFmtId="168" fontId="0" fillId="0" borderId="12" xfId="0" applyNumberFormat="1" applyBorder="1"/>
    <xf numFmtId="175" fontId="7" fillId="0" borderId="12" xfId="2" applyNumberFormat="1" applyFont="1" applyBorder="1"/>
    <xf numFmtId="175" fontId="9" fillId="5" borderId="14" xfId="0" applyNumberFormat="1" applyFont="1" applyFill="1" applyBorder="1" applyAlignment="1" applyProtection="1">
      <alignment horizontal="left"/>
      <protection locked="0"/>
    </xf>
    <xf numFmtId="0" fontId="0" fillId="2" borderId="12" xfId="0" applyFill="1" applyBorder="1"/>
    <xf numFmtId="0" fontId="38" fillId="2" borderId="12" xfId="0" applyFont="1" applyFill="1" applyBorder="1" applyAlignment="1">
      <alignment horizontal="left"/>
    </xf>
    <xf numFmtId="0" fontId="0" fillId="5" borderId="0" xfId="0" applyFill="1"/>
    <xf numFmtId="0" fontId="0" fillId="0" borderId="0" xfId="0" applyAlignment="1">
      <alignment horizontal="right" wrapText="1"/>
    </xf>
    <xf numFmtId="167" fontId="9" fillId="5" borderId="14" xfId="0" applyNumberFormat="1" applyFont="1" applyFill="1" applyBorder="1" applyAlignment="1">
      <alignment horizontal="right"/>
    </xf>
    <xf numFmtId="0" fontId="7" fillId="0" borderId="5" xfId="0" applyFont="1" applyBorder="1"/>
    <xf numFmtId="0" fontId="16" fillId="5" borderId="12" xfId="0" applyFont="1" applyFill="1" applyBorder="1" applyAlignment="1">
      <alignment horizontal="right"/>
    </xf>
    <xf numFmtId="0" fontId="24" fillId="0" borderId="12" xfId="0" applyFont="1" applyBorder="1"/>
    <xf numFmtId="169" fontId="2" fillId="0" borderId="13" xfId="0" applyNumberFormat="1" applyFont="1" applyBorder="1" applyAlignment="1">
      <alignment vertical="center" wrapText="1"/>
    </xf>
    <xf numFmtId="3" fontId="7" fillId="0" borderId="15" xfId="0" applyNumberFormat="1" applyFont="1" applyBorder="1" applyAlignment="1">
      <alignment vertical="center"/>
    </xf>
    <xf numFmtId="0" fontId="2" fillId="0" borderId="12" xfId="0" applyFont="1" applyBorder="1" applyAlignment="1">
      <alignment horizontal="left"/>
    </xf>
    <xf numFmtId="0" fontId="55" fillId="0" borderId="0" xfId="0" applyFont="1"/>
    <xf numFmtId="0" fontId="56" fillId="2" borderId="0" xfId="0" applyFont="1" applyFill="1"/>
    <xf numFmtId="0" fontId="56" fillId="0" borderId="0" xfId="0" applyFont="1"/>
    <xf numFmtId="0" fontId="11" fillId="3" borderId="12" xfId="0" applyFont="1" applyFill="1" applyBorder="1" applyAlignment="1">
      <alignment horizontal="left" vertical="center"/>
    </xf>
    <xf numFmtId="0" fontId="5" fillId="5" borderId="0" xfId="0" applyFont="1" applyFill="1" applyAlignment="1" applyProtection="1">
      <alignment vertical="top" wrapText="1"/>
      <protection locked="0"/>
    </xf>
    <xf numFmtId="0" fontId="24" fillId="0" borderId="20" xfId="0" applyFont="1" applyBorder="1"/>
    <xf numFmtId="0" fontId="57" fillId="0" borderId="18" xfId="0" applyFont="1" applyBorder="1"/>
    <xf numFmtId="0" fontId="57" fillId="0" borderId="22" xfId="0" applyFont="1" applyBorder="1"/>
    <xf numFmtId="0" fontId="38" fillId="0" borderId="22" xfId="0" applyFont="1" applyBorder="1"/>
    <xf numFmtId="0" fontId="24" fillId="0" borderId="22" xfId="0" applyFont="1" applyBorder="1"/>
    <xf numFmtId="8" fontId="24" fillId="0" borderId="19" xfId="0" applyNumberFormat="1" applyFont="1" applyBorder="1"/>
    <xf numFmtId="0" fontId="57" fillId="0" borderId="21" xfId="0" applyFont="1" applyBorder="1"/>
    <xf numFmtId="2" fontId="57" fillId="0" borderId="12" xfId="0" applyNumberFormat="1" applyFont="1" applyBorder="1"/>
    <xf numFmtId="0" fontId="38" fillId="5" borderId="12" xfId="0" applyFont="1" applyFill="1" applyBorder="1" applyAlignment="1" applyProtection="1">
      <alignment vertical="top" wrapText="1"/>
      <protection locked="0"/>
    </xf>
    <xf numFmtId="0" fontId="38" fillId="0" borderId="12" xfId="0" applyFont="1" applyBorder="1"/>
    <xf numFmtId="0" fontId="24" fillId="0" borderId="13" xfId="0" applyFont="1" applyBorder="1"/>
    <xf numFmtId="0" fontId="57" fillId="0" borderId="12" xfId="0" applyFont="1" applyBorder="1"/>
    <xf numFmtId="0" fontId="58" fillId="0" borderId="12" xfId="0" applyFont="1" applyBorder="1"/>
    <xf numFmtId="2" fontId="38" fillId="0" borderId="12" xfId="0" applyNumberFormat="1" applyFont="1" applyBorder="1"/>
    <xf numFmtId="0" fontId="28" fillId="0" borderId="13" xfId="0" applyFont="1" applyBorder="1"/>
    <xf numFmtId="0" fontId="24" fillId="0" borderId="14" xfId="0" applyFont="1" applyBorder="1"/>
    <xf numFmtId="0" fontId="38" fillId="5" borderId="14" xfId="0" applyFont="1" applyFill="1" applyBorder="1" applyAlignment="1" applyProtection="1">
      <alignment vertical="top" wrapText="1"/>
      <protection locked="0"/>
    </xf>
    <xf numFmtId="0" fontId="38" fillId="0" borderId="14" xfId="0" applyFont="1" applyBorder="1"/>
    <xf numFmtId="176" fontId="24" fillId="0" borderId="15" xfId="0" applyNumberFormat="1" applyFont="1" applyBorder="1"/>
    <xf numFmtId="174" fontId="38" fillId="5" borderId="12" xfId="0" applyNumberFormat="1" applyFont="1" applyFill="1" applyBorder="1" applyAlignment="1" applyProtection="1">
      <alignment vertical="top" wrapText="1"/>
      <protection locked="0"/>
    </xf>
    <xf numFmtId="0" fontId="59" fillId="7" borderId="12" xfId="0" applyFont="1" applyFill="1" applyBorder="1"/>
    <xf numFmtId="0" fontId="60" fillId="7" borderId="12" xfId="0" applyFont="1" applyFill="1" applyBorder="1" applyAlignment="1">
      <alignment horizontal="left" vertical="center" wrapText="1"/>
    </xf>
    <xf numFmtId="1" fontId="60" fillId="7" borderId="12" xfId="0" applyNumberFormat="1" applyFont="1" applyFill="1" applyBorder="1"/>
    <xf numFmtId="0" fontId="61" fillId="2" borderId="0" xfId="0" applyFont="1" applyFill="1"/>
    <xf numFmtId="168" fontId="0" fillId="0" borderId="2" xfId="1" applyNumberFormat="1" applyFont="1" applyBorder="1" applyAlignment="1">
      <alignment horizontal="center" vertical="center"/>
    </xf>
    <xf numFmtId="168" fontId="34" fillId="0" borderId="3" xfId="1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/>
    </xf>
    <xf numFmtId="0" fontId="26" fillId="0" borderId="5" xfId="0" applyFont="1" applyBorder="1" applyAlignment="1">
      <alignment horizontal="center"/>
    </xf>
    <xf numFmtId="168" fontId="27" fillId="0" borderId="5" xfId="1" applyNumberFormat="1" applyFont="1" applyBorder="1" applyAlignment="1">
      <alignment horizontal="center" vertical="center"/>
    </xf>
    <xf numFmtId="168" fontId="36" fillId="0" borderId="5" xfId="1" applyNumberFormat="1" applyFont="1" applyFill="1" applyBorder="1" applyAlignment="1">
      <alignment horizontal="center" vertical="center"/>
    </xf>
    <xf numFmtId="0" fontId="0" fillId="0" borderId="5" xfId="0" applyBorder="1" applyProtection="1">
      <protection locked="0"/>
    </xf>
    <xf numFmtId="0" fontId="5" fillId="5" borderId="5" xfId="0" applyFont="1" applyFill="1" applyBorder="1" applyAlignment="1" applyProtection="1">
      <alignment vertical="top" wrapText="1"/>
      <protection locked="0"/>
    </xf>
    <xf numFmtId="0" fontId="20" fillId="0" borderId="5" xfId="0" applyFont="1" applyBorder="1"/>
    <xf numFmtId="0" fontId="27" fillId="0" borderId="5" xfId="0" applyFont="1" applyBorder="1"/>
    <xf numFmtId="0" fontId="27" fillId="0" borderId="6" xfId="0" applyFont="1" applyBorder="1"/>
    <xf numFmtId="0" fontId="11" fillId="3" borderId="12" xfId="0" applyFont="1" applyFill="1" applyBorder="1" applyAlignment="1">
      <alignment horizontal="left" vertical="center" wrapText="1"/>
    </xf>
    <xf numFmtId="0" fontId="7" fillId="2" borderId="18" xfId="0" applyFont="1" applyFill="1" applyBorder="1"/>
    <xf numFmtId="0" fontId="0" fillId="0" borderId="26" xfId="0" applyBorder="1" applyAlignment="1">
      <alignment vertical="center"/>
    </xf>
    <xf numFmtId="1" fontId="60" fillId="7" borderId="0" xfId="0" applyNumberFormat="1" applyFont="1" applyFill="1"/>
    <xf numFmtId="0" fontId="62" fillId="0" borderId="12" xfId="0" applyFont="1" applyBorder="1"/>
    <xf numFmtId="0" fontId="63" fillId="0" borderId="12" xfId="4" applyFont="1" applyBorder="1"/>
    <xf numFmtId="0" fontId="9" fillId="0" borderId="26" xfId="0" applyFont="1" applyBorder="1"/>
    <xf numFmtId="0" fontId="16" fillId="0" borderId="21" xfId="0" applyFont="1" applyBorder="1"/>
    <xf numFmtId="0" fontId="16" fillId="0" borderId="20" xfId="0" applyFont="1" applyBorder="1"/>
    <xf numFmtId="0" fontId="15" fillId="0" borderId="21" xfId="0" applyFont="1" applyBorder="1"/>
    <xf numFmtId="0" fontId="15" fillId="0" borderId="20" xfId="0" applyFont="1" applyBorder="1"/>
    <xf numFmtId="0" fontId="28" fillId="5" borderId="0" xfId="0" applyFont="1" applyFill="1" applyAlignment="1">
      <alignment horizontal="left"/>
    </xf>
    <xf numFmtId="0" fontId="38" fillId="5" borderId="0" xfId="0" applyFont="1" applyFill="1" applyAlignment="1">
      <alignment horizontal="left"/>
    </xf>
    <xf numFmtId="0" fontId="24" fillId="5" borderId="0" xfId="0" applyFont="1" applyFill="1"/>
    <xf numFmtId="0" fontId="20" fillId="5" borderId="0" xfId="0" applyFont="1" applyFill="1"/>
    <xf numFmtId="0" fontId="0" fillId="0" borderId="0" xfId="0" applyAlignment="1">
      <alignment horizontal="left"/>
    </xf>
    <xf numFmtId="3" fontId="0" fillId="0" borderId="12" xfId="0" applyNumberFormat="1" applyBorder="1"/>
    <xf numFmtId="9" fontId="0" fillId="0" borderId="12" xfId="2" applyFont="1" applyBorder="1" applyProtection="1"/>
    <xf numFmtId="0" fontId="0" fillId="5" borderId="22" xfId="0" applyFill="1" applyBorder="1"/>
    <xf numFmtId="3" fontId="0" fillId="0" borderId="22" xfId="0" applyNumberFormat="1" applyBorder="1"/>
    <xf numFmtId="3" fontId="0" fillId="0" borderId="19" xfId="0" applyNumberFormat="1" applyBorder="1"/>
    <xf numFmtId="9" fontId="0" fillId="0" borderId="13" xfId="2" applyFont="1" applyBorder="1" applyProtection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0" fontId="0" fillId="5" borderId="14" xfId="0" applyFill="1" applyBorder="1"/>
    <xf numFmtId="0" fontId="0" fillId="0" borderId="22" xfId="0" applyBorder="1"/>
    <xf numFmtId="0" fontId="0" fillId="9" borderId="22" xfId="0" applyFill="1" applyBorder="1" applyAlignment="1">
      <alignment horizontal="center"/>
    </xf>
    <xf numFmtId="0" fontId="0" fillId="9" borderId="22" xfId="0" applyFill="1" applyBorder="1"/>
    <xf numFmtId="0" fontId="0" fillId="9" borderId="19" xfId="0" applyFill="1" applyBorder="1"/>
    <xf numFmtId="0" fontId="0" fillId="9" borderId="19" xfId="0" applyFill="1" applyBorder="1" applyAlignment="1">
      <alignment horizontal="center"/>
    </xf>
    <xf numFmtId="170" fontId="0" fillId="0" borderId="12" xfId="2" applyNumberFormat="1" applyFont="1" applyBorder="1" applyProtection="1"/>
    <xf numFmtId="170" fontId="0" fillId="0" borderId="14" xfId="2" applyNumberFormat="1" applyFont="1" applyBorder="1" applyProtection="1"/>
    <xf numFmtId="170" fontId="0" fillId="0" borderId="13" xfId="2" applyNumberFormat="1" applyFont="1" applyBorder="1" applyProtection="1"/>
    <xf numFmtId="0" fontId="24" fillId="5" borderId="14" xfId="0" applyFont="1" applyFill="1" applyBorder="1"/>
    <xf numFmtId="170" fontId="0" fillId="0" borderId="15" xfId="2" applyNumberFormat="1" applyFont="1" applyBorder="1" applyProtection="1"/>
    <xf numFmtId="0" fontId="0" fillId="0" borderId="4" xfId="0" applyBorder="1"/>
    <xf numFmtId="0" fontId="0" fillId="11" borderId="18" xfId="0" applyFill="1" applyBorder="1"/>
    <xf numFmtId="0" fontId="0" fillId="11" borderId="22" xfId="0" applyFill="1" applyBorder="1"/>
    <xf numFmtId="0" fontId="0" fillId="11" borderId="19" xfId="0" applyFill="1" applyBorder="1"/>
    <xf numFmtId="173" fontId="0" fillId="0" borderId="12" xfId="0" applyNumberFormat="1" applyBorder="1"/>
    <xf numFmtId="173" fontId="0" fillId="0" borderId="14" xfId="0" applyNumberFormat="1" applyBorder="1"/>
    <xf numFmtId="0" fontId="0" fillId="9" borderId="18" xfId="0" applyFill="1" applyBorder="1"/>
    <xf numFmtId="0" fontId="6" fillId="2" borderId="22" xfId="0" applyFont="1" applyFill="1" applyBorder="1" applyAlignment="1">
      <alignment horizontal="center" vertical="center"/>
    </xf>
    <xf numFmtId="174" fontId="0" fillId="5" borderId="12" xfId="0" applyNumberFormat="1" applyFill="1" applyBorder="1" applyAlignment="1">
      <alignment horizontal="right"/>
    </xf>
    <xf numFmtId="0" fontId="6" fillId="2" borderId="2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4" fontId="2" fillId="6" borderId="2" xfId="0" applyNumberFormat="1" applyFont="1" applyFill="1" applyBorder="1" applyProtection="1">
      <protection locked="0"/>
    </xf>
    <xf numFmtId="14" fontId="2" fillId="6" borderId="3" xfId="0" applyNumberFormat="1" applyFont="1" applyFill="1" applyBorder="1" applyProtection="1">
      <protection locked="0"/>
    </xf>
    <xf numFmtId="167" fontId="0" fillId="6" borderId="12" xfId="0" applyNumberFormat="1" applyFill="1" applyBorder="1" applyAlignment="1" applyProtection="1">
      <alignment horizontal="center"/>
      <protection locked="0"/>
    </xf>
    <xf numFmtId="167" fontId="0" fillId="6" borderId="12" xfId="0" applyNumberFormat="1" applyFill="1" applyBorder="1" applyProtection="1">
      <protection locked="0"/>
    </xf>
    <xf numFmtId="0" fontId="0" fillId="6" borderId="32" xfId="0" applyFill="1" applyBorder="1" applyProtection="1">
      <protection locked="0"/>
    </xf>
    <xf numFmtId="1" fontId="0" fillId="6" borderId="12" xfId="0" applyNumberFormat="1" applyFill="1" applyBorder="1" applyProtection="1">
      <protection locked="0"/>
    </xf>
    <xf numFmtId="174" fontId="0" fillId="6" borderId="12" xfId="0" applyNumberFormat="1" applyFill="1" applyBorder="1" applyProtection="1">
      <protection locked="0"/>
    </xf>
    <xf numFmtId="3" fontId="0" fillId="6" borderId="12" xfId="0" applyNumberFormat="1" applyFill="1" applyBorder="1" applyProtection="1">
      <protection locked="0"/>
    </xf>
    <xf numFmtId="3" fontId="0" fillId="6" borderId="14" xfId="0" applyNumberFormat="1" applyFill="1" applyBorder="1" applyProtection="1">
      <protection locked="0"/>
    </xf>
    <xf numFmtId="169" fontId="0" fillId="6" borderId="12" xfId="0" applyNumberFormat="1" applyFill="1" applyBorder="1" applyProtection="1">
      <protection locked="0"/>
    </xf>
    <xf numFmtId="175" fontId="0" fillId="6" borderId="12" xfId="0" applyNumberFormat="1" applyFill="1" applyBorder="1" applyAlignment="1" applyProtection="1">
      <alignment horizontal="right"/>
      <protection locked="0"/>
    </xf>
    <xf numFmtId="0" fontId="0" fillId="6" borderId="12" xfId="0" applyFill="1" applyBorder="1" applyProtection="1">
      <protection locked="0"/>
    </xf>
    <xf numFmtId="167" fontId="0" fillId="6" borderId="12" xfId="0" applyNumberFormat="1" applyFill="1" applyBorder="1" applyAlignment="1" applyProtection="1">
      <alignment horizontal="right"/>
      <protection locked="0"/>
    </xf>
    <xf numFmtId="172" fontId="0" fillId="6" borderId="12" xfId="0" applyNumberFormat="1" applyFill="1" applyBorder="1" applyAlignment="1" applyProtection="1">
      <alignment horizontal="right"/>
      <protection locked="0"/>
    </xf>
    <xf numFmtId="166" fontId="0" fillId="6" borderId="12" xfId="0" applyNumberFormat="1" applyFill="1" applyBorder="1" applyAlignment="1" applyProtection="1">
      <alignment horizontal="right"/>
      <protection locked="0"/>
    </xf>
    <xf numFmtId="168" fontId="0" fillId="6" borderId="12" xfId="0" applyNumberFormat="1" applyFill="1" applyBorder="1" applyAlignment="1" applyProtection="1">
      <alignment horizontal="center" vertical="center"/>
      <protection locked="0"/>
    </xf>
    <xf numFmtId="171" fontId="0" fillId="6" borderId="12" xfId="0" applyNumberFormat="1" applyFill="1" applyBorder="1" applyAlignment="1" applyProtection="1">
      <alignment horizontal="center"/>
      <protection locked="0"/>
    </xf>
    <xf numFmtId="171" fontId="0" fillId="6" borderId="12" xfId="0" applyNumberFormat="1" applyFill="1" applyBorder="1" applyAlignment="1" applyProtection="1">
      <alignment horizontal="center" vertical="center"/>
      <protection locked="0"/>
    </xf>
    <xf numFmtId="9" fontId="24" fillId="6" borderId="12" xfId="2" applyFont="1" applyFill="1" applyBorder="1" applyAlignment="1" applyProtection="1">
      <alignment horizontal="right"/>
      <protection locked="0"/>
    </xf>
    <xf numFmtId="173" fontId="0" fillId="6" borderId="12" xfId="0" applyNumberFormat="1" applyFill="1" applyBorder="1" applyAlignment="1" applyProtection="1">
      <alignment horizontal="center" vertical="center"/>
      <protection locked="0"/>
    </xf>
    <xf numFmtId="173" fontId="46" fillId="6" borderId="12" xfId="0" applyNumberFormat="1" applyFont="1" applyFill="1" applyBorder="1" applyAlignment="1" applyProtection="1">
      <alignment horizontal="center" vertical="center"/>
      <protection locked="0"/>
    </xf>
    <xf numFmtId="173" fontId="46" fillId="6" borderId="17" xfId="0" applyNumberFormat="1" applyFont="1" applyFill="1" applyBorder="1" applyAlignment="1" applyProtection="1">
      <alignment horizontal="center" vertical="center"/>
      <protection locked="0"/>
    </xf>
    <xf numFmtId="173" fontId="46" fillId="6" borderId="14" xfId="0" applyNumberFormat="1" applyFont="1" applyFill="1" applyBorder="1" applyAlignment="1" applyProtection="1">
      <alignment horizontal="center" vertical="center"/>
      <protection locked="0"/>
    </xf>
    <xf numFmtId="175" fontId="0" fillId="6" borderId="12" xfId="0" applyNumberFormat="1" applyFill="1" applyBorder="1" applyAlignment="1" applyProtection="1">
      <alignment horizontal="center" vertical="center"/>
      <protection locked="0"/>
    </xf>
    <xf numFmtId="0" fontId="9" fillId="6" borderId="17" xfId="0" applyFont="1" applyFill="1" applyBorder="1" applyAlignment="1" applyProtection="1">
      <alignment horizontal="left" vertical="center"/>
      <protection locked="0"/>
    </xf>
    <xf numFmtId="0" fontId="13" fillId="6" borderId="31" xfId="0" applyFont="1" applyFill="1" applyBorder="1" applyAlignment="1">
      <alignment horizontal="center" vertical="center"/>
    </xf>
    <xf numFmtId="177" fontId="0" fillId="6" borderId="32" xfId="0" applyNumberFormat="1" applyFill="1" applyBorder="1" applyAlignment="1" applyProtection="1">
      <alignment horizontal="center"/>
      <protection locked="0"/>
    </xf>
    <xf numFmtId="0" fontId="34" fillId="0" borderId="32" xfId="0" applyFont="1" applyBorder="1" applyAlignment="1">
      <alignment horizontal="left" vertical="center"/>
    </xf>
    <xf numFmtId="3" fontId="0" fillId="6" borderId="12" xfId="0" applyNumberFormat="1" applyFill="1" applyBorder="1" applyAlignment="1" applyProtection="1">
      <alignment horizontal="right"/>
      <protection locked="0"/>
    </xf>
    <xf numFmtId="0" fontId="34" fillId="0" borderId="45" xfId="0" applyFont="1" applyBorder="1" applyAlignment="1">
      <alignment horizontal="left"/>
    </xf>
    <xf numFmtId="0" fontId="0" fillId="6" borderId="12" xfId="0" applyFill="1" applyBorder="1"/>
    <xf numFmtId="0" fontId="0" fillId="4" borderId="0" xfId="0" applyFill="1"/>
    <xf numFmtId="0" fontId="0" fillId="6" borderId="22" xfId="0" applyFill="1" applyBorder="1" applyAlignment="1" applyProtection="1">
      <alignment horizontal="center"/>
      <protection locked="0"/>
    </xf>
    <xf numFmtId="0" fontId="0" fillId="6" borderId="19" xfId="0" applyFill="1" applyBorder="1" applyAlignment="1" applyProtection="1">
      <alignment horizontal="center"/>
      <protection locked="0"/>
    </xf>
    <xf numFmtId="0" fontId="68" fillId="0" borderId="12" xfId="0" applyFont="1" applyBorder="1"/>
    <xf numFmtId="0" fontId="68" fillId="6" borderId="12" xfId="0" applyFont="1" applyFill="1" applyBorder="1"/>
    <xf numFmtId="0" fontId="68" fillId="0" borderId="14" xfId="0" applyFont="1" applyBorder="1"/>
    <xf numFmtId="175" fontId="0" fillId="6" borderId="12" xfId="0" applyNumberFormat="1" applyFill="1" applyBorder="1" applyAlignment="1" applyProtection="1">
      <alignment horizontal="right" vertical="center"/>
      <protection locked="0"/>
    </xf>
    <xf numFmtId="0" fontId="0" fillId="5" borderId="12" xfId="0" applyFill="1" applyBorder="1" applyAlignment="1">
      <alignment wrapText="1"/>
    </xf>
    <xf numFmtId="0" fontId="16" fillId="5" borderId="12" xfId="0" applyFont="1" applyFill="1" applyBorder="1"/>
    <xf numFmtId="0" fontId="0" fillId="5" borderId="0" xfId="0" applyFill="1" applyAlignment="1">
      <alignment vertical="top" wrapText="1"/>
    </xf>
    <xf numFmtId="0" fontId="20" fillId="0" borderId="12" xfId="0" applyFont="1" applyBorder="1"/>
    <xf numFmtId="0" fontId="0" fillId="5" borderId="21" xfId="0" applyFill="1" applyBorder="1"/>
    <xf numFmtId="0" fontId="0" fillId="5" borderId="20" xfId="0" applyFill="1" applyBorder="1"/>
    <xf numFmtId="0" fontId="40" fillId="2" borderId="21" xfId="0" applyFont="1" applyFill="1" applyBorder="1" applyAlignment="1">
      <alignment horizontal="right" vertical="center"/>
    </xf>
    <xf numFmtId="9" fontId="7" fillId="0" borderId="12" xfId="2" applyFont="1" applyBorder="1" applyAlignment="1">
      <alignment horizontal="center" vertical="center"/>
    </xf>
    <xf numFmtId="2" fontId="7" fillId="0" borderId="12" xfId="2" applyNumberFormat="1" applyFont="1" applyBorder="1" applyAlignment="1">
      <alignment horizontal="center" vertical="center"/>
    </xf>
    <xf numFmtId="2" fontId="7" fillId="0" borderId="13" xfId="2" applyNumberFormat="1" applyFont="1" applyBorder="1" applyAlignment="1">
      <alignment horizontal="center" vertical="center"/>
    </xf>
    <xf numFmtId="0" fontId="40" fillId="0" borderId="13" xfId="0" applyFont="1" applyBorder="1" applyAlignment="1">
      <alignment vertical="center"/>
    </xf>
    <xf numFmtId="10" fontId="7" fillId="0" borderId="14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right" vertical="center"/>
    </xf>
    <xf numFmtId="0" fontId="0" fillId="3" borderId="12" xfId="0" applyFill="1" applyBorder="1" applyAlignment="1">
      <alignment vertical="center" wrapText="1"/>
    </xf>
    <xf numFmtId="0" fontId="0" fillId="0" borderId="0" xfId="0" applyAlignment="1">
      <alignment horizontal="center" vertical="top" wrapText="1"/>
    </xf>
    <xf numFmtId="0" fontId="68" fillId="0" borderId="12" xfId="0" applyFont="1" applyBorder="1" applyAlignment="1">
      <alignment wrapText="1"/>
    </xf>
    <xf numFmtId="10" fontId="5" fillId="0" borderId="19" xfId="2" applyNumberFormat="1" applyFont="1" applyBorder="1"/>
    <xf numFmtId="10" fontId="5" fillId="0" borderId="13" xfId="2" applyNumberFormat="1" applyFont="1" applyBorder="1"/>
    <xf numFmtId="10" fontId="5" fillId="0" borderId="15" xfId="2" applyNumberFormat="1" applyFont="1" applyBorder="1"/>
    <xf numFmtId="2" fontId="40" fillId="0" borderId="12" xfId="0" applyNumberFormat="1" applyFont="1" applyBorder="1" applyAlignment="1">
      <alignment vertical="center"/>
    </xf>
    <xf numFmtId="2" fontId="7" fillId="0" borderId="14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167" fontId="0" fillId="6" borderId="32" xfId="0" applyNumberFormat="1" applyFill="1" applyBorder="1" applyProtection="1">
      <protection locked="0"/>
    </xf>
    <xf numFmtId="9" fontId="0" fillId="6" borderId="12" xfId="2" applyFont="1" applyFill="1" applyBorder="1" applyProtection="1">
      <protection locked="0"/>
    </xf>
    <xf numFmtId="2" fontId="0" fillId="6" borderId="32" xfId="0" applyNumberFormat="1" applyFill="1" applyBorder="1" applyProtection="1">
      <protection locked="0"/>
    </xf>
    <xf numFmtId="0" fontId="59" fillId="7" borderId="0" xfId="0" applyFont="1" applyFill="1"/>
    <xf numFmtId="2" fontId="0" fillId="0" borderId="0" xfId="0" applyNumberFormat="1"/>
    <xf numFmtId="174" fontId="60" fillId="7" borderId="0" xfId="0" applyNumberFormat="1" applyFont="1" applyFill="1"/>
    <xf numFmtId="9" fontId="0" fillId="0" borderId="0" xfId="0" applyNumberFormat="1"/>
    <xf numFmtId="174" fontId="40" fillId="0" borderId="32" xfId="0" applyNumberFormat="1" applyFont="1" applyBorder="1" applyAlignment="1">
      <alignment vertical="center"/>
    </xf>
    <xf numFmtId="0" fontId="40" fillId="0" borderId="32" xfId="0" applyFont="1" applyBorder="1" applyAlignment="1">
      <alignment horizontal="left"/>
    </xf>
    <xf numFmtId="0" fontId="40" fillId="0" borderId="32" xfId="0" applyFont="1" applyBorder="1" applyAlignment="1">
      <alignment vertical="center"/>
    </xf>
    <xf numFmtId="0" fontId="34" fillId="0" borderId="16" xfId="0" applyFont="1" applyBorder="1" applyAlignment="1">
      <alignment vertical="center"/>
    </xf>
    <xf numFmtId="0" fontId="40" fillId="0" borderId="32" xfId="0" applyFont="1" applyBorder="1" applyAlignment="1">
      <alignment horizontal="left" vertical="center"/>
    </xf>
    <xf numFmtId="0" fontId="34" fillId="0" borderId="16" xfId="0" applyFont="1" applyBorder="1"/>
    <xf numFmtId="0" fontId="40" fillId="0" borderId="32" xfId="0" applyFont="1" applyBorder="1"/>
    <xf numFmtId="167" fontId="40" fillId="5" borderId="12" xfId="0" applyNumberFormat="1" applyFont="1" applyFill="1" applyBorder="1"/>
    <xf numFmtId="9" fontId="40" fillId="5" borderId="12" xfId="2" applyFont="1" applyFill="1" applyBorder="1" applyAlignment="1" applyProtection="1"/>
    <xf numFmtId="0" fontId="40" fillId="0" borderId="0" xfId="0" applyFont="1"/>
    <xf numFmtId="2" fontId="40" fillId="0" borderId="32" xfId="0" applyNumberFormat="1" applyFont="1" applyBorder="1" applyAlignment="1">
      <alignment vertical="center"/>
    </xf>
    <xf numFmtId="167" fontId="1" fillId="5" borderId="12" xfId="0" applyNumberFormat="1" applyFont="1" applyFill="1" applyBorder="1"/>
    <xf numFmtId="0" fontId="1" fillId="0" borderId="32" xfId="0" applyFont="1" applyBorder="1" applyAlignment="1">
      <alignment vertical="center"/>
    </xf>
    <xf numFmtId="0" fontId="69" fillId="0" borderId="12" xfId="0" applyFont="1" applyBorder="1"/>
    <xf numFmtId="167" fontId="69" fillId="5" borderId="12" xfId="0" applyNumberFormat="1" applyFont="1" applyFill="1" applyBorder="1"/>
    <xf numFmtId="0" fontId="70" fillId="0" borderId="32" xfId="0" applyFont="1" applyBorder="1" applyAlignment="1">
      <alignment vertical="center"/>
    </xf>
    <xf numFmtId="167" fontId="9" fillId="5" borderId="12" xfId="0" applyNumberFormat="1" applyFont="1" applyFill="1" applyBorder="1"/>
    <xf numFmtId="0" fontId="35" fillId="0" borderId="32" xfId="0" applyFont="1" applyBorder="1" applyAlignment="1">
      <alignment horizontal="left" vertical="center"/>
    </xf>
    <xf numFmtId="0" fontId="9" fillId="0" borderId="17" xfId="0" applyFont="1" applyBorder="1"/>
    <xf numFmtId="167" fontId="9" fillId="5" borderId="46" xfId="0" applyNumberFormat="1" applyFont="1" applyFill="1" applyBorder="1"/>
    <xf numFmtId="0" fontId="34" fillId="0" borderId="55" xfId="0" applyFont="1" applyBorder="1"/>
    <xf numFmtId="0" fontId="67" fillId="0" borderId="45" xfId="0" applyFont="1" applyBorder="1" applyAlignment="1">
      <alignment horizontal="center"/>
    </xf>
    <xf numFmtId="0" fontId="0" fillId="0" borderId="43" xfId="0" applyBorder="1" applyAlignment="1">
      <alignment horizontal="left"/>
    </xf>
    <xf numFmtId="0" fontId="13" fillId="0" borderId="0" xfId="0" applyFont="1"/>
    <xf numFmtId="0" fontId="0" fillId="0" borderId="17" xfId="0" applyBorder="1"/>
    <xf numFmtId="0" fontId="40" fillId="0" borderId="47" xfId="0" applyFont="1" applyBorder="1" applyAlignment="1">
      <alignment horizontal="left"/>
    </xf>
    <xf numFmtId="0" fontId="34" fillId="0" borderId="55" xfId="0" applyFont="1" applyBorder="1" applyAlignment="1">
      <alignment horizontal="left"/>
    </xf>
    <xf numFmtId="0" fontId="45" fillId="0" borderId="0" xfId="0" applyFont="1"/>
    <xf numFmtId="0" fontId="71" fillId="0" borderId="0" xfId="0" applyFont="1"/>
    <xf numFmtId="178" fontId="1" fillId="5" borderId="12" xfId="0" applyNumberFormat="1" applyFont="1" applyFill="1" applyBorder="1"/>
    <xf numFmtId="0" fontId="34" fillId="0" borderId="25" xfId="0" applyFont="1" applyBorder="1" applyAlignment="1">
      <alignment horizontal="center" vertical="top" textRotation="255"/>
    </xf>
    <xf numFmtId="0" fontId="34" fillId="0" borderId="23" xfId="0" applyFont="1" applyBorder="1" applyAlignment="1">
      <alignment horizontal="center" vertical="top" textRotation="255"/>
    </xf>
    <xf numFmtId="170" fontId="19" fillId="0" borderId="32" xfId="2" applyNumberFormat="1" applyFont="1" applyBorder="1" applyAlignment="1">
      <alignment horizontal="center" vertical="center"/>
    </xf>
    <xf numFmtId="170" fontId="19" fillId="0" borderId="16" xfId="2" applyNumberFormat="1" applyFont="1" applyBorder="1" applyAlignment="1">
      <alignment horizontal="center" vertical="center"/>
    </xf>
    <xf numFmtId="170" fontId="19" fillId="0" borderId="35" xfId="2" applyNumberFormat="1" applyFont="1" applyBorder="1" applyAlignment="1">
      <alignment horizontal="center" vertical="center"/>
    </xf>
    <xf numFmtId="170" fontId="19" fillId="0" borderId="30" xfId="2" applyNumberFormat="1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top" textRotation="255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67" fillId="0" borderId="34" xfId="0" applyFont="1" applyBorder="1" applyAlignment="1">
      <alignment horizontal="center"/>
    </xf>
    <xf numFmtId="0" fontId="67" fillId="0" borderId="36" xfId="0" applyFont="1" applyBorder="1" applyAlignment="1">
      <alignment horizontal="center"/>
    </xf>
    <xf numFmtId="0" fontId="19" fillId="0" borderId="25" xfId="0" applyFont="1" applyBorder="1" applyAlignment="1">
      <alignment horizontal="center" vertical="center" textRotation="255"/>
    </xf>
    <xf numFmtId="0" fontId="19" fillId="0" borderId="24" xfId="0" applyFont="1" applyBorder="1" applyAlignment="1">
      <alignment horizontal="center" vertical="center" textRotation="255"/>
    </xf>
    <xf numFmtId="0" fontId="19" fillId="0" borderId="23" xfId="0" applyFont="1" applyBorder="1" applyAlignment="1">
      <alignment horizontal="center" vertical="center" textRotation="255"/>
    </xf>
    <xf numFmtId="0" fontId="40" fillId="0" borderId="25" xfId="0" applyFont="1" applyBorder="1" applyAlignment="1">
      <alignment horizontal="center" vertical="center" textRotation="180"/>
    </xf>
    <xf numFmtId="0" fontId="40" fillId="0" borderId="23" xfId="0" applyFont="1" applyBorder="1" applyAlignment="1">
      <alignment horizontal="center" vertical="center" textRotation="180"/>
    </xf>
    <xf numFmtId="168" fontId="34" fillId="0" borderId="32" xfId="0" applyNumberFormat="1" applyFont="1" applyBorder="1" applyAlignment="1">
      <alignment horizontal="left" vertical="center"/>
    </xf>
    <xf numFmtId="168" fontId="34" fillId="0" borderId="16" xfId="0" applyNumberFormat="1" applyFont="1" applyBorder="1" applyAlignment="1">
      <alignment horizontal="left" vertical="center"/>
    </xf>
    <xf numFmtId="168" fontId="34" fillId="0" borderId="35" xfId="0" applyNumberFormat="1" applyFont="1" applyBorder="1" applyAlignment="1">
      <alignment horizontal="left" vertical="center"/>
    </xf>
    <xf numFmtId="168" fontId="34" fillId="0" borderId="30" xfId="0" applyNumberFormat="1" applyFont="1" applyBorder="1" applyAlignment="1">
      <alignment horizontal="left" vertical="center"/>
    </xf>
    <xf numFmtId="0" fontId="15" fillId="0" borderId="27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33" fillId="0" borderId="12" xfId="0" applyFont="1" applyBorder="1" applyAlignment="1">
      <alignment horizontal="left"/>
    </xf>
    <xf numFmtId="168" fontId="15" fillId="0" borderId="35" xfId="0" applyNumberFormat="1" applyFont="1" applyBorder="1" applyAlignment="1">
      <alignment horizontal="center" vertical="center"/>
    </xf>
    <xf numFmtId="168" fontId="15" fillId="0" borderId="30" xfId="0" applyNumberFormat="1" applyFont="1" applyBorder="1" applyAlignment="1">
      <alignment horizontal="center" vertical="center"/>
    </xf>
    <xf numFmtId="0" fontId="45" fillId="0" borderId="20" xfId="0" applyFont="1" applyBorder="1" applyAlignment="1">
      <alignment horizontal="left" vertical="center" wrapText="1"/>
    </xf>
    <xf numFmtId="0" fontId="45" fillId="0" borderId="14" xfId="0" applyFont="1" applyBorder="1" applyAlignment="1">
      <alignment horizontal="left" vertical="center" wrapText="1"/>
    </xf>
    <xf numFmtId="168" fontId="19" fillId="0" borderId="32" xfId="0" applyNumberFormat="1" applyFont="1" applyBorder="1" applyAlignment="1">
      <alignment horizontal="center" vertical="center"/>
    </xf>
    <xf numFmtId="168" fontId="19" fillId="0" borderId="16" xfId="0" applyNumberFormat="1" applyFont="1" applyBorder="1" applyAlignment="1">
      <alignment horizontal="center" vertical="center"/>
    </xf>
    <xf numFmtId="168" fontId="9" fillId="0" borderId="20" xfId="0" applyNumberFormat="1" applyFont="1" applyBorder="1" applyAlignment="1">
      <alignment horizontal="left"/>
    </xf>
    <xf numFmtId="168" fontId="9" fillId="0" borderId="14" xfId="0" applyNumberFormat="1" applyFont="1" applyBorder="1" applyAlignment="1">
      <alignment horizontal="left"/>
    </xf>
    <xf numFmtId="0" fontId="0" fillId="0" borderId="48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45" fillId="0" borderId="21" xfId="0" applyFont="1" applyBorder="1" applyAlignment="1">
      <alignment horizontal="left" vertical="center" wrapText="1"/>
    </xf>
    <xf numFmtId="0" fontId="45" fillId="0" borderId="12" xfId="0" applyFont="1" applyBorder="1" applyAlignment="1">
      <alignment horizontal="left" vertical="center" wrapText="1"/>
    </xf>
    <xf numFmtId="168" fontId="0" fillId="0" borderId="21" xfId="0" applyNumberFormat="1" applyBorder="1" applyAlignment="1">
      <alignment horizontal="left"/>
    </xf>
    <xf numFmtId="168" fontId="0" fillId="0" borderId="12" xfId="0" applyNumberFormat="1" applyBorder="1" applyAlignment="1">
      <alignment horizontal="left"/>
    </xf>
    <xf numFmtId="168" fontId="0" fillId="0" borderId="18" xfId="0" applyNumberFormat="1" applyBorder="1" applyAlignment="1">
      <alignment horizontal="left"/>
    </xf>
    <xf numFmtId="168" fontId="0" fillId="0" borderId="22" xfId="0" applyNumberFormat="1" applyBorder="1" applyAlignment="1">
      <alignment horizontal="left"/>
    </xf>
    <xf numFmtId="168" fontId="0" fillId="5" borderId="21" xfId="0" applyNumberFormat="1" applyFill="1" applyBorder="1" applyAlignment="1">
      <alignment horizontal="left"/>
    </xf>
    <xf numFmtId="168" fontId="0" fillId="5" borderId="12" xfId="0" applyNumberFormat="1" applyFill="1" applyBorder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22" xfId="0" applyFont="1" applyBorder="1" applyAlignment="1">
      <alignment horizontal="left"/>
    </xf>
    <xf numFmtId="0" fontId="34" fillId="0" borderId="32" xfId="0" applyFont="1" applyBorder="1" applyAlignment="1">
      <alignment horizontal="left"/>
    </xf>
    <xf numFmtId="0" fontId="34" fillId="0" borderId="16" xfId="0" applyFont="1" applyBorder="1" applyAlignment="1">
      <alignment horizontal="left"/>
    </xf>
    <xf numFmtId="3" fontId="24" fillId="2" borderId="12" xfId="0" applyNumberFormat="1" applyFont="1" applyFill="1" applyBorder="1" applyAlignment="1">
      <alignment horizontal="center"/>
    </xf>
    <xf numFmtId="0" fontId="24" fillId="2" borderId="12" xfId="0" applyFont="1" applyFill="1" applyBorder="1" applyAlignment="1">
      <alignment horizontal="left"/>
    </xf>
    <xf numFmtId="168" fontId="19" fillId="0" borderId="35" xfId="0" applyNumberFormat="1" applyFont="1" applyBorder="1" applyAlignment="1">
      <alignment horizontal="center" vertical="center"/>
    </xf>
    <xf numFmtId="168" fontId="19" fillId="0" borderId="30" xfId="0" applyNumberFormat="1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9" fontId="24" fillId="2" borderId="12" xfId="2" applyFont="1" applyFill="1" applyBorder="1" applyAlignment="1">
      <alignment horizontal="center"/>
    </xf>
    <xf numFmtId="168" fontId="19" fillId="0" borderId="12" xfId="0" applyNumberFormat="1" applyFont="1" applyBorder="1" applyAlignment="1">
      <alignment horizontal="center" vertical="center"/>
    </xf>
    <xf numFmtId="168" fontId="19" fillId="0" borderId="13" xfId="0" applyNumberFormat="1" applyFont="1" applyBorder="1" applyAlignment="1">
      <alignment horizontal="center" vertical="center"/>
    </xf>
    <xf numFmtId="168" fontId="19" fillId="0" borderId="14" xfId="0" applyNumberFormat="1" applyFont="1" applyBorder="1" applyAlignment="1">
      <alignment horizontal="center" vertical="center"/>
    </xf>
    <xf numFmtId="168" fontId="19" fillId="0" borderId="15" xfId="0" applyNumberFormat="1" applyFont="1" applyBorder="1" applyAlignment="1">
      <alignment horizontal="center" vertical="center"/>
    </xf>
    <xf numFmtId="168" fontId="0" fillId="0" borderId="27" xfId="0" applyNumberFormat="1" applyBorder="1" applyAlignment="1">
      <alignment horizontal="center"/>
    </xf>
    <xf numFmtId="168" fontId="0" fillId="0" borderId="28" xfId="0" applyNumberFormat="1" applyBorder="1" applyAlignment="1">
      <alignment horizontal="center"/>
    </xf>
    <xf numFmtId="168" fontId="0" fillId="0" borderId="36" xfId="0" applyNumberFormat="1" applyBorder="1" applyAlignment="1">
      <alignment horizontal="center"/>
    </xf>
    <xf numFmtId="168" fontId="0" fillId="0" borderId="38" xfId="0" applyNumberFormat="1" applyBorder="1" applyAlignment="1">
      <alignment horizontal="left"/>
    </xf>
    <xf numFmtId="168" fontId="0" fillId="0" borderId="39" xfId="0" applyNumberFormat="1" applyBorder="1" applyAlignment="1">
      <alignment horizontal="left"/>
    </xf>
    <xf numFmtId="0" fontId="0" fillId="6" borderId="7" xfId="0" applyFill="1" applyBorder="1" applyAlignment="1" applyProtection="1">
      <alignment horizontal="center" vertical="top" wrapText="1"/>
      <protection locked="0"/>
    </xf>
    <xf numFmtId="0" fontId="0" fillId="6" borderId="0" xfId="0" applyFill="1" applyAlignment="1" applyProtection="1">
      <alignment horizontal="center" vertical="top" wrapText="1"/>
      <protection locked="0"/>
    </xf>
    <xf numFmtId="0" fontId="0" fillId="6" borderId="8" xfId="0" applyFill="1" applyBorder="1" applyAlignment="1" applyProtection="1">
      <alignment horizontal="center" vertical="top" wrapText="1"/>
      <protection locked="0"/>
    </xf>
    <xf numFmtId="0" fontId="0" fillId="6" borderId="9" xfId="0" applyFill="1" applyBorder="1" applyAlignment="1" applyProtection="1">
      <alignment horizontal="center" vertical="top" wrapText="1"/>
      <protection locked="0"/>
    </xf>
    <xf numFmtId="0" fontId="0" fillId="6" borderId="10" xfId="0" applyFill="1" applyBorder="1" applyAlignment="1" applyProtection="1">
      <alignment horizontal="center" vertical="top" wrapText="1"/>
      <protection locked="0"/>
    </xf>
    <xf numFmtId="0" fontId="0" fillId="6" borderId="11" xfId="0" applyFill="1" applyBorder="1" applyAlignment="1" applyProtection="1">
      <alignment horizontal="center" vertical="top" wrapText="1"/>
      <protection locked="0"/>
    </xf>
    <xf numFmtId="0" fontId="34" fillId="0" borderId="32" xfId="0" applyFont="1" applyBorder="1" applyAlignment="1">
      <alignment horizontal="left" vertical="center"/>
    </xf>
    <xf numFmtId="0" fontId="34" fillId="0" borderId="16" xfId="0" applyFont="1" applyBorder="1" applyAlignment="1">
      <alignment horizontal="left" vertical="center"/>
    </xf>
    <xf numFmtId="0" fontId="52" fillId="4" borderId="0" xfId="3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0" fillId="6" borderId="4" xfId="0" applyFill="1" applyBorder="1" applyAlignment="1" applyProtection="1">
      <alignment horizontal="left" vertical="top" wrapText="1"/>
      <protection locked="0"/>
    </xf>
    <xf numFmtId="0" fontId="0" fillId="6" borderId="5" xfId="0" applyFill="1" applyBorder="1" applyAlignment="1" applyProtection="1">
      <alignment horizontal="left" vertical="top" wrapText="1"/>
      <protection locked="0"/>
    </xf>
    <xf numFmtId="0" fontId="0" fillId="6" borderId="6" xfId="0" applyFill="1" applyBorder="1" applyAlignment="1" applyProtection="1">
      <alignment horizontal="left" vertical="top" wrapText="1"/>
      <protection locked="0"/>
    </xf>
    <xf numFmtId="0" fontId="0" fillId="6" borderId="7" xfId="0" applyFill="1" applyBorder="1" applyAlignment="1" applyProtection="1">
      <alignment horizontal="left" vertical="top" wrapText="1"/>
      <protection locked="0"/>
    </xf>
    <xf numFmtId="0" fontId="0" fillId="6" borderId="0" xfId="0" applyFill="1" applyAlignment="1" applyProtection="1">
      <alignment horizontal="left" vertical="top" wrapText="1"/>
      <protection locked="0"/>
    </xf>
    <xf numFmtId="0" fontId="0" fillId="6" borderId="8" xfId="0" applyFill="1" applyBorder="1" applyAlignment="1" applyProtection="1">
      <alignment horizontal="left" vertical="top" wrapText="1"/>
      <protection locked="0"/>
    </xf>
    <xf numFmtId="0" fontId="0" fillId="6" borderId="9" xfId="0" applyFill="1" applyBorder="1" applyAlignment="1" applyProtection="1">
      <alignment horizontal="left" vertical="top" wrapText="1"/>
      <protection locked="0"/>
    </xf>
    <xf numFmtId="0" fontId="0" fillId="6" borderId="10" xfId="0" applyFill="1" applyBorder="1" applyAlignment="1" applyProtection="1">
      <alignment horizontal="left" vertical="top" wrapText="1"/>
      <protection locked="0"/>
    </xf>
    <xf numFmtId="0" fontId="0" fillId="6" borderId="11" xfId="0" applyFill="1" applyBorder="1" applyAlignment="1" applyProtection="1">
      <alignment horizontal="left" vertical="top" wrapText="1"/>
      <protection locked="0"/>
    </xf>
    <xf numFmtId="167" fontId="0" fillId="6" borderId="12" xfId="0" applyNumberFormat="1" applyFill="1" applyBorder="1" applyAlignment="1" applyProtection="1">
      <alignment horizontal="left"/>
      <protection locked="0"/>
    </xf>
    <xf numFmtId="167" fontId="0" fillId="6" borderId="32" xfId="0" applyNumberFormat="1" applyFill="1" applyBorder="1" applyAlignment="1" applyProtection="1">
      <alignment horizontal="left"/>
      <protection locked="0"/>
    </xf>
    <xf numFmtId="167" fontId="0" fillId="6" borderId="13" xfId="0" applyNumberFormat="1" applyFill="1" applyBorder="1" applyAlignment="1" applyProtection="1">
      <alignment horizontal="left"/>
      <protection locked="0"/>
    </xf>
    <xf numFmtId="0" fontId="34" fillId="0" borderId="35" xfId="0" applyFont="1" applyBorder="1" applyAlignment="1">
      <alignment horizontal="left"/>
    </xf>
    <xf numFmtId="0" fontId="34" fillId="0" borderId="30" xfId="0" applyFont="1" applyBorder="1" applyAlignment="1">
      <alignment horizontal="left"/>
    </xf>
    <xf numFmtId="0" fontId="64" fillId="4" borderId="46" xfId="0" applyFont="1" applyFill="1" applyBorder="1" applyAlignment="1">
      <alignment horizontal="left" vertical="center"/>
    </xf>
    <xf numFmtId="0" fontId="66" fillId="4" borderId="47" xfId="0" applyFont="1" applyFill="1" applyBorder="1" applyAlignment="1">
      <alignment horizontal="left" vertical="center"/>
    </xf>
    <xf numFmtId="0" fontId="66" fillId="4" borderId="42" xfId="0" applyFont="1" applyFill="1" applyBorder="1" applyAlignment="1">
      <alignment horizontal="left" vertical="center"/>
    </xf>
    <xf numFmtId="0" fontId="0" fillId="4" borderId="53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52" xfId="0" applyFill="1" applyBorder="1" applyAlignment="1">
      <alignment horizontal="left" vertical="center" wrapText="1"/>
    </xf>
    <xf numFmtId="0" fontId="0" fillId="4" borderId="41" xfId="0" applyFill="1" applyBorder="1" applyAlignment="1">
      <alignment horizontal="left" vertical="center" wrapText="1"/>
    </xf>
    <xf numFmtId="0" fontId="0" fillId="4" borderId="44" xfId="0" applyFill="1" applyBorder="1" applyAlignment="1">
      <alignment horizontal="left" vertical="center" wrapText="1"/>
    </xf>
    <xf numFmtId="0" fontId="0" fillId="4" borderId="40" xfId="0" applyFill="1" applyBorder="1" applyAlignment="1">
      <alignment horizontal="left" vertical="center" wrapText="1"/>
    </xf>
    <xf numFmtId="167" fontId="0" fillId="6" borderId="54" xfId="0" applyNumberFormat="1" applyFill="1" applyBorder="1" applyAlignment="1" applyProtection="1">
      <alignment horizontal="left"/>
      <protection locked="0"/>
    </xf>
    <xf numFmtId="167" fontId="0" fillId="6" borderId="16" xfId="0" applyNumberFormat="1" applyFill="1" applyBorder="1" applyAlignment="1" applyProtection="1">
      <alignment horizontal="left"/>
      <protection locked="0"/>
    </xf>
    <xf numFmtId="0" fontId="48" fillId="0" borderId="7" xfId="0" applyFont="1" applyBorder="1" applyAlignment="1" applyProtection="1">
      <alignment horizontal="center" vertical="center" wrapText="1"/>
      <protection locked="0"/>
    </xf>
    <xf numFmtId="3" fontId="0" fillId="6" borderId="35" xfId="0" applyNumberFormat="1" applyFill="1" applyBorder="1" applyAlignment="1" applyProtection="1">
      <alignment horizontal="center"/>
      <protection locked="0"/>
    </xf>
    <xf numFmtId="3" fontId="0" fillId="6" borderId="56" xfId="0" applyNumberFormat="1" applyFill="1" applyBorder="1" applyAlignment="1" applyProtection="1">
      <alignment horizontal="center"/>
      <protection locked="0"/>
    </xf>
    <xf numFmtId="3" fontId="0" fillId="6" borderId="30" xfId="0" applyNumberFormat="1" applyFill="1" applyBorder="1" applyAlignment="1" applyProtection="1">
      <alignment horizontal="center"/>
      <protection locked="0"/>
    </xf>
    <xf numFmtId="0" fontId="9" fillId="0" borderId="25" xfId="0" applyFont="1" applyBorder="1" applyAlignment="1">
      <alignment horizontal="center" textRotation="255"/>
    </xf>
    <xf numFmtId="0" fontId="9" fillId="0" borderId="24" xfId="0" applyFont="1" applyBorder="1" applyAlignment="1">
      <alignment horizontal="center" textRotation="255"/>
    </xf>
    <xf numFmtId="0" fontId="9" fillId="0" borderId="23" xfId="0" applyFont="1" applyBorder="1" applyAlignment="1">
      <alignment horizontal="center" textRotation="255"/>
    </xf>
    <xf numFmtId="0" fontId="9" fillId="0" borderId="25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 textRotation="255"/>
    </xf>
    <xf numFmtId="0" fontId="0" fillId="10" borderId="21" xfId="0" applyFill="1" applyBorder="1" applyAlignment="1">
      <alignment horizontal="center" vertical="center" textRotation="90"/>
    </xf>
    <xf numFmtId="0" fontId="0" fillId="10" borderId="20" xfId="0" applyFill="1" applyBorder="1" applyAlignment="1">
      <alignment horizontal="center" vertical="center" textRotation="90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12" borderId="18" xfId="0" applyFill="1" applyBorder="1" applyAlignment="1">
      <alignment horizontal="center" vertical="center" textRotation="90" wrapText="1"/>
    </xf>
    <xf numFmtId="0" fontId="0" fillId="12" borderId="21" xfId="0" applyFill="1" applyBorder="1" applyAlignment="1">
      <alignment horizontal="center" vertical="center" textRotation="90" wrapText="1"/>
    </xf>
    <xf numFmtId="0" fontId="0" fillId="12" borderId="20" xfId="0" applyFill="1" applyBorder="1" applyAlignment="1">
      <alignment horizontal="center" vertical="center" textRotation="90" wrapText="1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9" borderId="21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 textRotation="90"/>
    </xf>
    <xf numFmtId="0" fontId="0" fillId="8" borderId="21" xfId="0" applyFill="1" applyBorder="1" applyAlignment="1">
      <alignment horizontal="center" vertical="center" textRotation="90"/>
    </xf>
    <xf numFmtId="0" fontId="0" fillId="8" borderId="20" xfId="0" applyFill="1" applyBorder="1" applyAlignment="1">
      <alignment horizontal="center" vertical="center" textRotation="90"/>
    </xf>
    <xf numFmtId="0" fontId="0" fillId="0" borderId="37" xfId="0" applyBorder="1" applyAlignment="1">
      <alignment horizontal="center" vertical="center" textRotation="90"/>
    </xf>
    <xf numFmtId="0" fontId="0" fillId="0" borderId="38" xfId="0" applyBorder="1" applyAlignment="1">
      <alignment horizontal="center" vertical="center" textRotation="90"/>
    </xf>
    <xf numFmtId="0" fontId="0" fillId="9" borderId="18" xfId="0" applyFill="1" applyBorder="1" applyAlignment="1">
      <alignment horizontal="center"/>
    </xf>
    <xf numFmtId="0" fontId="0" fillId="9" borderId="22" xfId="0" applyFill="1" applyBorder="1" applyAlignment="1">
      <alignment horizontal="center"/>
    </xf>
    <xf numFmtId="0" fontId="0" fillId="9" borderId="21" xfId="0" applyFill="1" applyBorder="1" applyAlignment="1">
      <alignment horizontal="center" vertical="center" textRotation="90"/>
    </xf>
    <xf numFmtId="0" fontId="0" fillId="9" borderId="21" xfId="0" applyFill="1" applyBorder="1" applyAlignment="1">
      <alignment horizontal="center" textRotation="90"/>
    </xf>
  </cellXfs>
  <cellStyles count="5">
    <cellStyle name="Monétaire" xfId="1" builtinId="4"/>
    <cellStyle name="Normal" xfId="0" builtinId="0"/>
    <cellStyle name="Normal 4" xfId="3" xr:uid="{ADEF9F8F-C4E9-4FE8-A5B3-D75C26D6F091}"/>
    <cellStyle name="Pourcentage" xfId="2" builtinId="5"/>
    <cellStyle name="Texte explicatif" xfId="4" builtinId="53"/>
  </cellStyles>
  <dxfs count="57">
    <dxf>
      <font>
        <color auto="1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9" defaultPivotStyle="PivotStyleMedium7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r-FR" sz="1400" b="0"/>
              <a:t>Répartition des investissements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289427637334809"/>
          <c:y val="0.17765733967883532"/>
          <c:w val="0.50138209697472025"/>
          <c:h val="0.700031341765071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F4-46A8-8FCE-3A9239C26BD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F4-46A8-8FCE-3A9239C26BD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4F4-46A8-8FCE-3A9239C26BD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4F4-46A8-8FCE-3A9239C26BDC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4F4-46A8-8FCE-3A9239C26BDC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4F4-46A8-8FCE-3A9239C26BDC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4F4-46A8-8FCE-3A9239C26BDC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4F4-46A8-8FCE-3A9239C26BDC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4F4-46A8-8FCE-3A9239C26BDC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4F4-46A8-8FCE-3A9239C26BDC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4F4-46A8-8FCE-3A9239C26BDC}"/>
              </c:ext>
            </c:extLst>
          </c:dPt>
          <c:cat>
            <c:strRef>
              <c:f>'2024'!$G$35:$G$44</c:f>
              <c:strCache>
                <c:ptCount val="10"/>
                <c:pt idx="0">
                  <c:v> Ingénierie/étude </c:v>
                </c:pt>
                <c:pt idx="1">
                  <c:v> Raccordement aux différents réseaux </c:v>
                </c:pt>
                <c:pt idx="2">
                  <c:v> Aménagement du site </c:v>
                </c:pt>
                <c:pt idx="3">
                  <c:v> Stockage, réception et incorpo des entrants </c:v>
                </c:pt>
                <c:pt idx="4">
                  <c:v> Ouvrages de digestion </c:v>
                </c:pt>
                <c:pt idx="5">
                  <c:v> Cogénérateur et équipements annexes </c:v>
                </c:pt>
                <c:pt idx="6">
                  <c:v> Valo chaleur : réseau de chaleur, séchoir... </c:v>
                </c:pt>
                <c:pt idx="7">
                  <c:v> Stockage digestat et séparation de phase </c:v>
                </c:pt>
                <c:pt idx="8">
                  <c:v> Activité annexe (déconditionnement, station GNV si même société que métha...) </c:v>
                </c:pt>
                <c:pt idx="9">
                  <c:v> Autre, Préciser :  </c:v>
                </c:pt>
              </c:strCache>
            </c:strRef>
          </c:cat>
          <c:val>
            <c:numRef>
              <c:f>'2024'!$I$35:$I$44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4F4-46A8-8FCE-3A9239C26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11988283468410936"/>
          <c:w val="0.39686122568012333"/>
          <c:h val="0.88011716531589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406357180812519"/>
          <c:y val="4.4444444444444446E-2"/>
          <c:w val="0.44601420221245358"/>
          <c:h val="0.9231786026746657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04-4AD6-B0B7-AA0310493CC2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E04-4AD6-B0B7-AA0310493CC2}"/>
              </c:ext>
            </c:extLst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E04-4AD6-B0B7-AA0310493CC2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E04-4AD6-B0B7-AA0310493CC2}"/>
              </c:ext>
            </c:extLst>
          </c:dPt>
          <c:dPt>
            <c:idx val="4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E04-4AD6-B0B7-AA0310493CC2}"/>
              </c:ext>
            </c:extLst>
          </c:dPt>
          <c:dPt>
            <c:idx val="5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E04-4AD6-B0B7-AA0310493CC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E04-4AD6-B0B7-AA0310493CC2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E04-4AD6-B0B7-AA0310493CC2}"/>
              </c:ext>
            </c:extLst>
          </c:dPt>
          <c:dPt>
            <c:idx val="8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E04-4AD6-B0B7-AA0310493CC2}"/>
              </c:ext>
            </c:extLst>
          </c:dPt>
          <c:cat>
            <c:strRef>
              <c:f>'2021'!$G$79:$G$86</c:f>
              <c:strCache>
                <c:ptCount val="8"/>
                <c:pt idx="0">
                  <c:v> Fumier </c:v>
                </c:pt>
                <c:pt idx="1">
                  <c:v> Lisier </c:v>
                </c:pt>
                <c:pt idx="2">
                  <c:v> Co-produits végétaux </c:v>
                </c:pt>
                <c:pt idx="3">
                  <c:v> CIVE </c:v>
                </c:pt>
                <c:pt idx="4">
                  <c:v> Culture dédiée/énergie </c:v>
                </c:pt>
                <c:pt idx="5">
                  <c:v> Déchet IAA </c:v>
                </c:pt>
                <c:pt idx="6">
                  <c:v> Biodéchet </c:v>
                </c:pt>
                <c:pt idx="7">
                  <c:v> STEP </c:v>
                </c:pt>
              </c:strCache>
            </c:strRef>
          </c:cat>
          <c:val>
            <c:numRef>
              <c:f>'2021'!$I$79:$I$86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E04-4AD6-B0B7-AA0310493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10127234095738033"/>
          <c:w val="0.4496637843582435"/>
          <c:h val="0.859204599425071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investissements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2557147818214296"/>
          <c:y val="0.13311797132035885"/>
          <c:w val="0.73567906686208739"/>
          <c:h val="0.625702196782965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'2021'!$H$46</c:f>
              <c:strCache>
                <c:ptCount val="1"/>
                <c:pt idx="0">
                  <c:v> Invest initial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'2021'!$G$47:$G$48</c:f>
              <c:strCache>
                <c:ptCount val="2"/>
                <c:pt idx="0">
                  <c:v> Investissement initial </c:v>
                </c:pt>
                <c:pt idx="1">
                  <c:v>Ré-investissement</c:v>
                </c:pt>
              </c:strCache>
            </c:strRef>
          </c:cat>
          <c:val>
            <c:numRef>
              <c:f>'2021'!$H$47:$H$48</c:f>
              <c:numCache>
                <c:formatCode>General</c:formatCode>
                <c:ptCount val="2"/>
                <c:pt idx="0" formatCode="_-* #\ ##0\ [$€-40C]_-;\-* #\ ##0\ [$€-40C]_-;_-* &quot;-&quot;??\ [$€-40C]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7-49E0-9F35-AAF6273B9301}"/>
            </c:ext>
          </c:extLst>
        </c:ser>
        <c:ser>
          <c:idx val="1"/>
          <c:order val="1"/>
          <c:tx>
            <c:strRef>
              <c:f>'2021'!$I$46</c:f>
              <c:strCache>
                <c:ptCount val="1"/>
                <c:pt idx="0">
                  <c:v> Réinvest moteur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'2021'!$G$47:$G$48</c:f>
              <c:strCache>
                <c:ptCount val="2"/>
                <c:pt idx="0">
                  <c:v> Investissement initial </c:v>
                </c:pt>
                <c:pt idx="1">
                  <c:v>Ré-investissement</c:v>
                </c:pt>
              </c:strCache>
            </c:strRef>
          </c:cat>
          <c:val>
            <c:numRef>
              <c:f>'2021'!$I$47:$I$48</c:f>
              <c:numCache>
                <c:formatCode>_-* #\ ##0\ [$€-40C]_-;\-* #\ ##0\ [$€-40C]_-;_-* "-"??\ [$€-40C]_-;_-@_-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C7-49E0-9F35-AAF6273B9301}"/>
            </c:ext>
          </c:extLst>
        </c:ser>
        <c:ser>
          <c:idx val="2"/>
          <c:order val="2"/>
          <c:tx>
            <c:strRef>
              <c:f>'2021'!$J$46</c:f>
              <c:strCache>
                <c:ptCount val="1"/>
                <c:pt idx="0">
                  <c:v> Réinvest renouvellement autre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'2021'!$G$47:$G$48</c:f>
              <c:strCache>
                <c:ptCount val="2"/>
                <c:pt idx="0">
                  <c:v> Investissement initial </c:v>
                </c:pt>
                <c:pt idx="1">
                  <c:v>Ré-investissement</c:v>
                </c:pt>
              </c:strCache>
            </c:strRef>
          </c:cat>
          <c:val>
            <c:numRef>
              <c:f>'2021'!$J$47:$J$48</c:f>
              <c:numCache>
                <c:formatCode>_-* #\ ##0\ [$€-40C]_-;\-* #\ ##0\ [$€-40C]_-;_-* "-"??\ [$€-40C]_-;_-@_-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C7-49E0-9F35-AAF6273B9301}"/>
            </c:ext>
          </c:extLst>
        </c:ser>
        <c:ser>
          <c:idx val="3"/>
          <c:order val="3"/>
          <c:tx>
            <c:strRef>
              <c:f>'2021'!$K$46</c:f>
              <c:strCache>
                <c:ptCount val="1"/>
                <c:pt idx="0">
                  <c:v> Mises aux normes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'2021'!$G$47:$G$48</c:f>
              <c:strCache>
                <c:ptCount val="2"/>
                <c:pt idx="0">
                  <c:v> Investissement initial </c:v>
                </c:pt>
                <c:pt idx="1">
                  <c:v>Ré-investissement</c:v>
                </c:pt>
              </c:strCache>
            </c:strRef>
          </c:cat>
          <c:val>
            <c:numRef>
              <c:f>'2021'!$K$47:$K$48</c:f>
              <c:numCache>
                <c:formatCode>_-* #\ ##0\ [$€-40C]_-;\-* #\ ##0\ [$€-40C]_-;_-* "-"??\ [$€-40C]_-;_-@_-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C7-49E0-9F35-AAF6273B9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1009632"/>
        <c:axId val="991011432"/>
      </c:barChart>
      <c:catAx>
        <c:axId val="99100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1011432"/>
        <c:crosses val="autoZero"/>
        <c:auto val="1"/>
        <c:lblAlgn val="ctr"/>
        <c:lblOffset val="100"/>
        <c:noMultiLvlLbl val="0"/>
      </c:catAx>
      <c:valAx>
        <c:axId val="99101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[$€-40C]_-;\-* #\ ##0\ [$€-40C]_-;_-* &quot;-&quot;??\ [$€-40C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100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037950611503571E-2"/>
          <c:y val="0.84566903054312259"/>
          <c:w val="0.93821972189152814"/>
          <c:h val="0.13279665217668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Indicateurs</a:t>
            </a:r>
            <a:r>
              <a:rPr lang="fr-FR" baseline="0"/>
              <a:t> sur l'efficience énergétique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'2021'!$I$93</c:f>
              <c:strCache>
                <c:ptCount val="1"/>
                <c:pt idx="0">
                  <c:v>Min groupe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'2021'!$G$94:$H$97</c:f>
              <c:strCache>
                <c:ptCount val="4"/>
                <c:pt idx="0">
                  <c:v>% conso auxiliaire/vente réseau</c:v>
                </c:pt>
                <c:pt idx="1">
                  <c:v>% conso élect sur vente énergie</c:v>
                </c:pt>
                <c:pt idx="2">
                  <c:v>% énergie consommée en torchère</c:v>
                </c:pt>
                <c:pt idx="3">
                  <c:v>% énergie PV sur conso élect totale</c:v>
                </c:pt>
              </c:strCache>
            </c:strRef>
          </c:cat>
          <c:val>
            <c:numRef>
              <c:f>'2021'!$I$94:$I$97</c:f>
              <c:numCache>
                <c:formatCode>0.0%</c:formatCode>
                <c:ptCount val="4"/>
                <c:pt idx="0">
                  <c:v>0.02</c:v>
                </c:pt>
                <c:pt idx="1">
                  <c:v>0.06</c:v>
                </c:pt>
                <c:pt idx="2">
                  <c:v>0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11-4F7C-BB9C-898A3624A597}"/>
            </c:ext>
          </c:extLst>
        </c:ser>
        <c:ser>
          <c:idx val="2"/>
          <c:order val="2"/>
          <c:tx>
            <c:strRef>
              <c:f>'2021'!$K$93</c:f>
              <c:strCache>
                <c:ptCount val="1"/>
                <c:pt idx="0">
                  <c:v>Max groupe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'2021'!$G$94:$H$97</c:f>
              <c:strCache>
                <c:ptCount val="4"/>
                <c:pt idx="0">
                  <c:v>% conso auxiliaire/vente réseau</c:v>
                </c:pt>
                <c:pt idx="1">
                  <c:v>% conso élect sur vente énergie</c:v>
                </c:pt>
                <c:pt idx="2">
                  <c:v>% énergie consommée en torchère</c:v>
                </c:pt>
                <c:pt idx="3">
                  <c:v>% énergie PV sur conso élect totale</c:v>
                </c:pt>
              </c:strCache>
            </c:strRef>
          </c:cat>
          <c:val>
            <c:numRef>
              <c:f>'2021'!$K$94:$K$97</c:f>
              <c:numCache>
                <c:formatCode>0.0%</c:formatCode>
                <c:ptCount val="4"/>
                <c:pt idx="0">
                  <c:v>0.06</c:v>
                </c:pt>
                <c:pt idx="1">
                  <c:v>0.12</c:v>
                </c:pt>
                <c:pt idx="2">
                  <c:v>0.05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11-4F7C-BB9C-898A3624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6734512"/>
        <c:axId val="946736672"/>
      </c:barChart>
      <c:scatterChart>
        <c:scatterStyle val="lineMarker"/>
        <c:varyColors val="0"/>
        <c:ser>
          <c:idx val="0"/>
          <c:order val="1"/>
          <c:tx>
            <c:strRef>
              <c:f>'2021'!$J$93</c:f>
              <c:strCache>
                <c:ptCount val="1"/>
                <c:pt idx="0">
                  <c:v>Mon site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'2021'!$G$94:$H$97</c:f>
              <c:strCache>
                <c:ptCount val="4"/>
                <c:pt idx="0">
                  <c:v>% conso auxiliaire/vente réseau</c:v>
                </c:pt>
                <c:pt idx="1">
                  <c:v>% conso élect sur vente énergie</c:v>
                </c:pt>
                <c:pt idx="2">
                  <c:v>% énergie consommée en torchère</c:v>
                </c:pt>
                <c:pt idx="3">
                  <c:v>% énergie PV sur conso élect totale</c:v>
                </c:pt>
              </c:strCache>
            </c:strRef>
          </c:xVal>
          <c:yVal>
            <c:numRef>
              <c:f>'2021'!$J$94:$J$97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11-4F7C-BB9C-898A3624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734512"/>
        <c:axId val="946736672"/>
      </c:scatterChart>
      <c:catAx>
        <c:axId val="94673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736672"/>
        <c:crosses val="autoZero"/>
        <c:auto val="1"/>
        <c:lblAlgn val="ctr"/>
        <c:lblOffset val="100"/>
        <c:noMultiLvlLbl val="0"/>
      </c:catAx>
      <c:valAx>
        <c:axId val="94673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73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Comparaison cout de production - prix de vente et marge nette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'2021'!$G$121</c:f>
              <c:strCache>
                <c:ptCount val="1"/>
                <c:pt idx="0">
                  <c:v>APPRO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'2021'!$H$121:$L$121</c:f>
              <c:numCache>
                <c:formatCode>0.0</c:formatCode>
                <c:ptCount val="5"/>
                <c:pt idx="0" formatCode="0.00">
                  <c:v>0</c:v>
                </c:pt>
                <c:pt idx="1">
                  <c:v>68.161279894563918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2-44C5-AB1E-36B7C95B8BC1}"/>
            </c:ext>
          </c:extLst>
        </c:ser>
        <c:ser>
          <c:idx val="1"/>
          <c:order val="1"/>
          <c:tx>
            <c:strRef>
              <c:f>'2021'!$G$122</c:f>
              <c:strCache>
                <c:ptCount val="1"/>
                <c:pt idx="0">
                  <c:v>DIGESTAT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'2021'!$H$120:$L$120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'2021'!$H$122:$L$122</c:f>
              <c:numCache>
                <c:formatCode>0.0</c:formatCode>
                <c:ptCount val="5"/>
                <c:pt idx="0" formatCode="0.00">
                  <c:v>0</c:v>
                </c:pt>
                <c:pt idx="1">
                  <c:v>14.641098695151385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02-44C5-AB1E-36B7C95B8BC1}"/>
            </c:ext>
          </c:extLst>
        </c:ser>
        <c:ser>
          <c:idx val="2"/>
          <c:order val="2"/>
          <c:tx>
            <c:strRef>
              <c:f>'2021'!$G$123</c:f>
              <c:strCache>
                <c:ptCount val="1"/>
                <c:pt idx="0">
                  <c:v>EXPLOITATION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'2021'!$H$120:$L$120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'2021'!$H$123:$L$123</c:f>
              <c:numCache>
                <c:formatCode>0.0</c:formatCode>
                <c:ptCount val="5"/>
                <c:pt idx="0" formatCode="0.00">
                  <c:v>0</c:v>
                </c:pt>
                <c:pt idx="1">
                  <c:v>65.433883716714618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02-44C5-AB1E-36B7C95B8BC1}"/>
            </c:ext>
          </c:extLst>
        </c:ser>
        <c:ser>
          <c:idx val="3"/>
          <c:order val="3"/>
          <c:tx>
            <c:strRef>
              <c:f>'2021'!$G$124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'2021'!$H$120:$L$120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'2021'!$H$124:$L$124</c:f>
              <c:numCache>
                <c:formatCode>0.0</c:formatCode>
                <c:ptCount val="5"/>
                <c:pt idx="0" formatCode="0.00">
                  <c:v>0</c:v>
                </c:pt>
                <c:pt idx="1">
                  <c:v>10.772352824879945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02-44C5-AB1E-36B7C95B8BC1}"/>
            </c:ext>
          </c:extLst>
        </c:ser>
        <c:ser>
          <c:idx val="4"/>
          <c:order val="4"/>
          <c:tx>
            <c:strRef>
              <c:f>'2021'!$G$125</c:f>
              <c:strCache>
                <c:ptCount val="1"/>
                <c:pt idx="0">
                  <c:v>TRAVAIL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'2021'!$H$120:$L$120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'2021'!$H$125:$L$125</c:f>
              <c:numCache>
                <c:formatCode>0.0</c:formatCode>
                <c:ptCount val="5"/>
                <c:pt idx="0" formatCode="0.00">
                  <c:v>0</c:v>
                </c:pt>
                <c:pt idx="1">
                  <c:v>16.411797270432913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02-44C5-AB1E-36B7C95B8BC1}"/>
            </c:ext>
          </c:extLst>
        </c:ser>
        <c:ser>
          <c:idx val="5"/>
          <c:order val="5"/>
          <c:tx>
            <c:strRef>
              <c:f>'2021'!$G$126</c:f>
              <c:strCache>
                <c:ptCount val="1"/>
                <c:pt idx="0">
                  <c:v>INVEST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'2021'!$H$120:$L$120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'2021'!$H$126:$L$126</c:f>
              <c:numCache>
                <c:formatCode>0.0</c:formatCode>
                <c:ptCount val="5"/>
                <c:pt idx="0" formatCode="0.00">
                  <c:v>0</c:v>
                </c:pt>
                <c:pt idx="1">
                  <c:v>70.087181862015711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02-44C5-AB1E-36B7C95B8BC1}"/>
            </c:ext>
          </c:extLst>
        </c:ser>
        <c:ser>
          <c:idx val="6"/>
          <c:order val="6"/>
          <c:tx>
            <c:strRef>
              <c:f>'2021'!$G$127</c:f>
              <c:strCache>
                <c:ptCount val="1"/>
                <c:pt idx="0">
                  <c:v>Produit cogé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'2021'!$H$120:$L$120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'2021'!$H$127:$L$127</c:f>
              <c:numCache>
                <c:formatCode>General</c:formatCode>
                <c:ptCount val="5"/>
                <c:pt idx="2" formatCode="0.00">
                  <c:v>0</c:v>
                </c:pt>
                <c:pt idx="3">
                  <c:v>223.4539850282946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02-44C5-AB1E-36B7C95B8BC1}"/>
            </c:ext>
          </c:extLst>
        </c:ser>
        <c:ser>
          <c:idx val="7"/>
          <c:order val="7"/>
          <c:tx>
            <c:strRef>
              <c:f>'2021'!$G$128</c:f>
              <c:strCache>
                <c:ptCount val="1"/>
                <c:pt idx="0">
                  <c:v>Produit annexe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'2021'!$H$120:$L$120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'2021'!$H$128:$L$128</c:f>
              <c:numCache>
                <c:formatCode>General</c:formatCode>
                <c:ptCount val="5"/>
                <c:pt idx="2" formatCode="0.00">
                  <c:v>0</c:v>
                </c:pt>
                <c:pt idx="3">
                  <c:v>26.411510628931779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B02-44C5-AB1E-36B7C95B8BC1}"/>
            </c:ext>
          </c:extLst>
        </c:ser>
        <c:ser>
          <c:idx val="8"/>
          <c:order val="8"/>
          <c:tx>
            <c:strRef>
              <c:f>'2021'!$G$129</c:f>
              <c:strCache>
                <c:ptCount val="1"/>
                <c:pt idx="0">
                  <c:v>Marge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'2021'!$H$120:$L$120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'2021'!$H$129:$L$129</c:f>
              <c:numCache>
                <c:formatCode>General</c:formatCode>
                <c:ptCount val="5"/>
                <c:pt idx="4" formatCode="_-* #\ ##0\ [$€-40C]_-;\-* #\ ##0\ [$€-40C]_-;_-* &quot;-&quot;???\ [$€-40C]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02-44C5-AB1E-36B7C95B8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1000632"/>
        <c:axId val="990998112"/>
      </c:barChart>
      <c:catAx>
        <c:axId val="99100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0998112"/>
        <c:crosses val="autoZero"/>
        <c:auto val="1"/>
        <c:lblAlgn val="ctr"/>
        <c:lblOffset val="100"/>
        <c:noMultiLvlLbl val="0"/>
      </c:catAx>
      <c:valAx>
        <c:axId val="99099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€/MWh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1000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 des 6 postes de charges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D74-4EBC-B2F6-7CDB9BE33B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D74-4EBC-B2F6-7CDB9BE33B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D74-4EBC-B2F6-7CDB9BE33B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D74-4EBC-B2F6-7CDB9BE33B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AD74-4EBC-B2F6-7CDB9BE33B5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D74-4EBC-B2F6-7CDB9BE33B56}"/>
              </c:ext>
            </c:extLst>
          </c:dPt>
          <c:cat>
            <c:strRef>
              <c:f>('2021'!$G$108:$G$110,'2021'!$G$113:$G$115)</c:f>
              <c:strCache>
                <c:ptCount val="6"/>
                <c:pt idx="0">
                  <c:v>APPRO</c:v>
                </c:pt>
                <c:pt idx="1">
                  <c:v>DIGESTAT</c:v>
                </c:pt>
                <c:pt idx="2">
                  <c:v>EXPLOITATION</c:v>
                </c:pt>
                <c:pt idx="3">
                  <c:v>AUTRES</c:v>
                </c:pt>
                <c:pt idx="4">
                  <c:v>TRAVAIL</c:v>
                </c:pt>
                <c:pt idx="5">
                  <c:v>INVEST</c:v>
                </c:pt>
              </c:strCache>
            </c:strRef>
          </c:cat>
          <c:val>
            <c:numRef>
              <c:f>('2021'!$H$108:$H$110,'2021'!$H$113:$H$115)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D74-4EBC-B2F6-7CDB9BE33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 la 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'Comparaison interannuelle'!$B$8</c:f>
              <c:strCache>
                <c:ptCount val="1"/>
                <c:pt idx="0">
                  <c:v>Fumier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1-45DA-B863-0E90D1ECC5CD}"/>
            </c:ext>
          </c:extLst>
        </c:ser>
        <c:ser>
          <c:idx val="1"/>
          <c:order val="1"/>
          <c:tx>
            <c:strRef>
              <c:f>'Comparaison interannuelle'!$B$9</c:f>
              <c:strCache>
                <c:ptCount val="1"/>
                <c:pt idx="0">
                  <c:v>Lisier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interannuelle'!$C$8:$F$8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51-45DA-B863-0E90D1ECC5CD}"/>
            </c:ext>
          </c:extLst>
        </c:ser>
        <c:ser>
          <c:idx val="2"/>
          <c:order val="2"/>
          <c:tx>
            <c:strRef>
              <c:f>'Comparaison interannuelle'!$B$10</c:f>
              <c:strCache>
                <c:ptCount val="1"/>
                <c:pt idx="0">
                  <c:v>Résidus cultures/coproduits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interannuelle'!$C$9:$F$9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51-45DA-B863-0E90D1ECC5CD}"/>
            </c:ext>
          </c:extLst>
        </c:ser>
        <c:ser>
          <c:idx val="3"/>
          <c:order val="3"/>
          <c:tx>
            <c:strRef>
              <c:f>'Comparaison interannuelle'!$B$11</c:f>
              <c:strCache>
                <c:ptCount val="1"/>
                <c:pt idx="0">
                  <c:v>CIVE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interannuelle'!$C$10:$F$10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51-45DA-B863-0E90D1ECC5CD}"/>
            </c:ext>
          </c:extLst>
        </c:ser>
        <c:ser>
          <c:idx val="4"/>
          <c:order val="4"/>
          <c:tx>
            <c:strRef>
              <c:f>'Comparaison interannuelle'!$B$12</c:f>
              <c:strCache>
                <c:ptCount val="1"/>
                <c:pt idx="0">
                  <c:v>Cultures dédiées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interannuelle'!$C$11:$F$11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51-45DA-B863-0E90D1ECC5CD}"/>
            </c:ext>
          </c:extLst>
        </c:ser>
        <c:ser>
          <c:idx val="5"/>
          <c:order val="5"/>
          <c:tx>
            <c:strRef>
              <c:f>'Comparaison interannuelle'!$B$13</c:f>
              <c:strCache>
                <c:ptCount val="1"/>
                <c:pt idx="0">
                  <c:v>Déchets IAA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interannuelle'!$C$12:$F$12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51-45DA-B863-0E90D1ECC5CD}"/>
            </c:ext>
          </c:extLst>
        </c:ser>
        <c:ser>
          <c:idx val="6"/>
          <c:order val="6"/>
          <c:tx>
            <c:strRef>
              <c:f>'Comparaison interannuelle'!$B$14</c:f>
              <c:strCache>
                <c:ptCount val="1"/>
                <c:pt idx="0">
                  <c:v>Biodéchets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interannuelle'!$C$13:$F$13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51-45DA-B863-0E90D1ECC5CD}"/>
            </c:ext>
          </c:extLst>
        </c:ser>
        <c:ser>
          <c:idx val="7"/>
          <c:order val="7"/>
          <c:tx>
            <c:strRef>
              <c:f>'Comparaison interannuelle'!$B$15</c:f>
              <c:strCache>
                <c:ptCount val="1"/>
                <c:pt idx="0">
                  <c:v>STEP urbaine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interannuelle'!$C$14:$F$14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51-45DA-B863-0E90D1ECC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740608"/>
        <c:axId val="738744568"/>
      </c:barChart>
      <c:catAx>
        <c:axId val="7387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8744568"/>
        <c:crosses val="autoZero"/>
        <c:auto val="1"/>
        <c:lblAlgn val="ctr"/>
        <c:lblOffset val="100"/>
        <c:noMultiLvlLbl val="0"/>
      </c:catAx>
      <c:valAx>
        <c:axId val="738744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874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008311461067367E-2"/>
          <c:y val="0.71296077573636618"/>
          <c:w val="0.86965004374453192"/>
          <c:h val="0.208335520559929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 la production d'énergie et disponibilité</a:t>
            </a:r>
            <a:r>
              <a:rPr lang="fr-FR" baseline="0"/>
              <a:t> équipement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2"/>
          <c:tx>
            <c:strRef>
              <c:f>'Comparaison interannuelle'!$B$20</c:f>
              <c:strCache>
                <c:ptCount val="1"/>
                <c:pt idx="0">
                  <c:v>MWH élec vendus/an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interannuelle'!$C$20:$F$20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1-4914-9656-DDD5EBC4551F}"/>
            </c:ext>
          </c:extLst>
        </c:ser>
        <c:ser>
          <c:idx val="3"/>
          <c:order val="3"/>
          <c:tx>
            <c:strRef>
              <c:f>'Comparaison interannuelle'!$B$21</c:f>
              <c:strCache>
                <c:ptCount val="1"/>
                <c:pt idx="0">
                  <c:v>MWH thermie valorisée extérieur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interannuelle'!$C$21:$F$21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1-4914-9656-DDD5EBC45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754800"/>
        <c:axId val="738755880"/>
      </c:barChart>
      <c:lineChart>
        <c:grouping val="standard"/>
        <c:varyColors val="0"/>
        <c:ser>
          <c:idx val="0"/>
          <c:order val="0"/>
          <c:tx>
            <c:strRef>
              <c:f>'Comparaison interannuelle'!$B$18</c:f>
              <c:strCache>
                <c:ptCount val="1"/>
                <c:pt idx="0">
                  <c:v>Taux de fonctionnement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</c:spPr>
          </c:marker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interannuelle'!$C$18:$F$18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A1-4914-9656-DDD5EBC4551F}"/>
            </c:ext>
          </c:extLst>
        </c:ser>
        <c:ser>
          <c:idx val="1"/>
          <c:order val="1"/>
          <c:tx>
            <c:strRef>
              <c:f>'Comparaison interannuelle'!$B$19</c:f>
              <c:strCache>
                <c:ptCount val="1"/>
                <c:pt idx="0">
                  <c:v>Taux de Charge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  <a:effectLst/>
            </c:spPr>
          </c:marker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interannuelle'!$C$19:$F$19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A1-4914-9656-DDD5EBC45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011592"/>
        <c:axId val="863009072"/>
      </c:lineChart>
      <c:catAx>
        <c:axId val="73875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8755880"/>
        <c:crosses val="autoZero"/>
        <c:auto val="1"/>
        <c:lblAlgn val="ctr"/>
        <c:lblOffset val="100"/>
        <c:noMultiLvlLbl val="0"/>
      </c:catAx>
      <c:valAx>
        <c:axId val="738755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8754800"/>
        <c:crosses val="autoZero"/>
        <c:crossBetween val="between"/>
      </c:valAx>
      <c:valAx>
        <c:axId val="863009072"/>
        <c:scaling>
          <c:orientation val="minMax"/>
          <c:max val="1"/>
          <c:min val="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% taux de</a:t>
                </a:r>
                <a:r>
                  <a:rPr lang="fr-FR" baseline="0"/>
                  <a:t> charge et de fonctionnement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3011592"/>
        <c:crosses val="max"/>
        <c:crossBetween val="between"/>
      </c:valAx>
      <c:catAx>
        <c:axId val="863011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3009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Consommation</a:t>
            </a:r>
            <a:r>
              <a:rPr lang="fr-FR" baseline="0"/>
              <a:t> électrique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7567147856517933E-2"/>
          <c:y val="0.19280048036090919"/>
          <c:w val="0.81797681539807521"/>
          <c:h val="0.504022858892345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'Comparaison interannuelle'!$B$22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interannuelle'!$C$22:$F$22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63-454F-A729-9756622BCF9E}"/>
            </c:ext>
          </c:extLst>
        </c:ser>
        <c:ser>
          <c:idx val="1"/>
          <c:order val="1"/>
          <c:tx>
            <c:strRef>
              <c:f>'Comparaison interannuelle'!$B$23</c:f>
              <c:strCache>
                <c:ptCount val="1"/>
                <c:pt idx="0">
                  <c:v>Conso électricité du site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interannuelle'!$C$23:$F$23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63-454F-A729-9756622BC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715312"/>
        <c:axId val="520713872"/>
      </c:barChart>
      <c:lineChart>
        <c:grouping val="standard"/>
        <c:varyColors val="0"/>
        <c:ser>
          <c:idx val="2"/>
          <c:order val="2"/>
          <c:tx>
            <c:strRef>
              <c:f>'Comparaison interannuelle'!$B$27</c:f>
              <c:strCache>
                <c:ptCount val="1"/>
                <c:pt idx="0">
                  <c:v>% conso élect sur vente énergie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25400">
                <a:solidFill>
                  <a:schemeClr val="accent3"/>
                </a:solidFill>
              </a:ln>
              <a:effectLst/>
            </c:spPr>
          </c:marker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interannuelle'!$C$27:$F$27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63-454F-A729-9756622BCF9E}"/>
            </c:ext>
          </c:extLst>
        </c:ser>
        <c:ser>
          <c:idx val="3"/>
          <c:order val="3"/>
          <c:tx>
            <c:strRef>
              <c:f>'Comparaison interannuelle'!$B$28</c:f>
              <c:strCache>
                <c:ptCount val="1"/>
                <c:pt idx="0">
                  <c:v>% énergie PV sur conso élect totale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5400">
                <a:solidFill>
                  <a:schemeClr val="accent4"/>
                </a:solidFill>
              </a:ln>
              <a:effectLst/>
            </c:spPr>
          </c:marker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interannuelle'!$C$28:$F$28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63-454F-A729-9756622BCF9E}"/>
            </c:ext>
          </c:extLst>
        </c:ser>
        <c:ser>
          <c:idx val="4"/>
          <c:order val="4"/>
          <c:tx>
            <c:strRef>
              <c:f>'Comparaison interannuelle'!$B$29</c:f>
              <c:strCache>
                <c:ptCount val="1"/>
                <c:pt idx="0">
                  <c:v>% conso auxiliaire/vente réseau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25400">
                <a:solidFill>
                  <a:schemeClr val="accent5"/>
                </a:solidFill>
              </a:ln>
              <a:effectLst/>
            </c:spPr>
          </c:marker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interannuelle'!$C$29:$F$29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63-454F-A729-9756622BC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998272"/>
        <c:axId val="863005472"/>
      </c:lineChart>
      <c:catAx>
        <c:axId val="52071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0713872"/>
        <c:crosses val="autoZero"/>
        <c:auto val="1"/>
        <c:lblAlgn val="ctr"/>
        <c:lblOffset val="100"/>
        <c:noMultiLvlLbl val="0"/>
      </c:catAx>
      <c:valAx>
        <c:axId val="52071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 par 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0715312"/>
        <c:crosses val="autoZero"/>
        <c:crossBetween val="between"/>
      </c:valAx>
      <c:valAx>
        <c:axId val="86300547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2998272"/>
        <c:crosses val="max"/>
        <c:crossBetween val="between"/>
      </c:valAx>
      <c:catAx>
        <c:axId val="862998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3005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1741210062529612"/>
          <c:w val="0.97670734908136481"/>
          <c:h val="0.151398821936972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du</a:t>
            </a:r>
            <a:r>
              <a:rPr lang="fr-FR" baseline="0"/>
              <a:t> chiffre d'affaire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0012292213473315"/>
          <c:y val="0.17171296296296296"/>
          <c:w val="0.66172659667541556"/>
          <c:h val="0.503292869641294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'Comparaison interannuelle'!$B$35</c:f>
              <c:strCache>
                <c:ptCount val="1"/>
                <c:pt idx="0">
                  <c:v>Vente élect (€)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interannuelle'!$C$35:$F$35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2-4234-9B25-AD774131481E}"/>
            </c:ext>
          </c:extLst>
        </c:ser>
        <c:ser>
          <c:idx val="1"/>
          <c:order val="1"/>
          <c:tx>
            <c:strRef>
              <c:f>'Comparaison interannuelle'!$B$36</c:f>
              <c:strCache>
                <c:ptCount val="1"/>
                <c:pt idx="0">
                  <c:v>Vente chaleur (€)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interannuelle'!$C$36:$F$36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A2-4234-9B25-AD774131481E}"/>
            </c:ext>
          </c:extLst>
        </c:ser>
        <c:ser>
          <c:idx val="2"/>
          <c:order val="2"/>
          <c:tx>
            <c:strRef>
              <c:f>'Comparaison interannuelle'!$B$37</c:f>
              <c:strCache>
                <c:ptCount val="1"/>
                <c:pt idx="0">
                  <c:v>Vente gaz pour valo bioGNV (€)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interannuelle'!$C$37:$F$37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A2-4234-9B25-AD774131481E}"/>
            </c:ext>
          </c:extLst>
        </c:ser>
        <c:ser>
          <c:idx val="3"/>
          <c:order val="3"/>
          <c:tx>
            <c:strRef>
              <c:f>'Comparaison interannuelle'!$B$38</c:f>
              <c:strCache>
                <c:ptCount val="1"/>
                <c:pt idx="0">
                  <c:v>Redevances traitement déchets (€)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interannuelle'!$C$38:$F$38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A2-4234-9B25-AD774131481E}"/>
            </c:ext>
          </c:extLst>
        </c:ser>
        <c:ser>
          <c:idx val="4"/>
          <c:order val="4"/>
          <c:tx>
            <c:strRef>
              <c:f>'Comparaison interannuelle'!$B$39</c:f>
              <c:strCache>
                <c:ptCount val="1"/>
                <c:pt idx="0">
                  <c:v>Vente digestat (€)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interannuelle'!$C$39:$F$39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A2-4234-9B25-AD774131481E}"/>
            </c:ext>
          </c:extLst>
        </c:ser>
        <c:ser>
          <c:idx val="5"/>
          <c:order val="5"/>
          <c:tx>
            <c:strRef>
              <c:f>'Comparaison interannuelle'!$B$40</c:f>
              <c:strCache>
                <c:ptCount val="1"/>
                <c:pt idx="0">
                  <c:v>Autre, Préciser :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interannuelle'!$C$40:$F$40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A2-4234-9B25-AD7741314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2988192"/>
        <c:axId val="862991072"/>
      </c:barChart>
      <c:lineChart>
        <c:grouping val="standard"/>
        <c:varyColors val="0"/>
        <c:ser>
          <c:idx val="6"/>
          <c:order val="6"/>
          <c:tx>
            <c:strRef>
              <c:f>'Comparaison interannuelle'!$B$41</c:f>
              <c:strCache>
                <c:ptCount val="1"/>
                <c:pt idx="0">
                  <c:v>Produit cogé en  €/Mwhé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'Comparaison interannuelle'!$C$41:$F$41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2A2-4234-9B25-AD774131481E}"/>
            </c:ext>
          </c:extLst>
        </c:ser>
        <c:ser>
          <c:idx val="7"/>
          <c:order val="7"/>
          <c:tx>
            <c:strRef>
              <c:f>'Comparaison interannuelle'!$B$42</c:f>
              <c:strCache>
                <c:ptCount val="1"/>
                <c:pt idx="0">
                  <c:v>Produit annexe en  €/Mwhé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'Comparaison interannuelle'!$C$42:$F$42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2A2-4234-9B25-AD7741314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160312"/>
        <c:axId val="854164992"/>
      </c:lineChart>
      <c:catAx>
        <c:axId val="86298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2991072"/>
        <c:crosses val="autoZero"/>
        <c:auto val="1"/>
        <c:lblAlgn val="ctr"/>
        <c:lblOffset val="100"/>
        <c:noMultiLvlLbl val="0"/>
      </c:catAx>
      <c:valAx>
        <c:axId val="86299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CA/an en 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2988192"/>
        <c:crosses val="autoZero"/>
        <c:crossBetween val="between"/>
      </c:valAx>
      <c:valAx>
        <c:axId val="854164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160312"/>
        <c:crosses val="max"/>
        <c:crossBetween val="between"/>
      </c:valAx>
      <c:catAx>
        <c:axId val="854160312"/>
        <c:scaling>
          <c:orientation val="minMax"/>
        </c:scaling>
        <c:delete val="1"/>
        <c:axPos val="b"/>
        <c:majorTickMark val="out"/>
        <c:minorTickMark val="none"/>
        <c:tickLblPos val="nextTo"/>
        <c:crossAx val="854164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772309711286097E-2"/>
          <c:y val="0.76388670166229211"/>
          <c:w val="0.88967760279965002"/>
          <c:h val="0.208335520559929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cout</a:t>
            </a:r>
            <a:r>
              <a:rPr lang="fr-FR" baseline="0"/>
              <a:t> de production en €/MWh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'Comparaison interannuelle'!$B$79</c:f>
              <c:strCache>
                <c:ptCount val="1"/>
                <c:pt idx="0">
                  <c:v>Appro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interannuelle'!$C$79:$F$79</c:f>
              <c:numCache>
                <c:formatCode>#\ ##0.0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A-4FE5-A1F3-29B0FBDE1904}"/>
            </c:ext>
          </c:extLst>
        </c:ser>
        <c:ser>
          <c:idx val="1"/>
          <c:order val="1"/>
          <c:tx>
            <c:strRef>
              <c:f>'Comparaison interannuelle'!$B$80</c:f>
              <c:strCache>
                <c:ptCount val="1"/>
                <c:pt idx="0">
                  <c:v>Digest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interannuelle'!$C$80:$F$80</c:f>
              <c:numCache>
                <c:formatCode>#\ ##0.0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4A-4FE5-A1F3-29B0FBDE1904}"/>
            </c:ext>
          </c:extLst>
        </c:ser>
        <c:ser>
          <c:idx val="2"/>
          <c:order val="2"/>
          <c:tx>
            <c:strRef>
              <c:f>'Comparaison interannuelle'!$B$81</c:f>
              <c:strCache>
                <c:ptCount val="1"/>
                <c:pt idx="0">
                  <c:v>Exploit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interannuelle'!$C$81:$F$81</c:f>
              <c:numCache>
                <c:formatCode>#\ ##0.0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4A-4FE5-A1F3-29B0FBDE1904}"/>
            </c:ext>
          </c:extLst>
        </c:ser>
        <c:ser>
          <c:idx val="3"/>
          <c:order val="3"/>
          <c:tx>
            <c:strRef>
              <c:f>'Comparaison interannuelle'!$B$82</c:f>
              <c:strCache>
                <c:ptCount val="1"/>
                <c:pt idx="0">
                  <c:v>Autre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interannuelle'!$C$82:$F$82</c:f>
              <c:numCache>
                <c:formatCode>#\ ##0.0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4A-4FE5-A1F3-29B0FBDE1904}"/>
            </c:ext>
          </c:extLst>
        </c:ser>
        <c:ser>
          <c:idx val="4"/>
          <c:order val="4"/>
          <c:tx>
            <c:strRef>
              <c:f>'Comparaison interannuelle'!$B$83</c:f>
              <c:strCache>
                <c:ptCount val="1"/>
                <c:pt idx="0">
                  <c:v>Ttravail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interannuelle'!$C$83:$F$83</c:f>
              <c:numCache>
                <c:formatCode>#\ ##0.0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4A-4FE5-A1F3-29B0FBDE1904}"/>
            </c:ext>
          </c:extLst>
        </c:ser>
        <c:ser>
          <c:idx val="5"/>
          <c:order val="5"/>
          <c:tx>
            <c:strRef>
              <c:f>'Comparaison interannuelle'!$B$84</c:f>
              <c:strCache>
                <c:ptCount val="1"/>
                <c:pt idx="0">
                  <c:v>Inves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interannuelle'!$C$84:$F$84</c:f>
              <c:numCache>
                <c:formatCode>#\ ##0.0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84A-4FE5-A1F3-29B0FBDE1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4963464"/>
        <c:axId val="854964544"/>
      </c:barChart>
      <c:catAx>
        <c:axId val="85496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964544"/>
        <c:crosses val="autoZero"/>
        <c:auto val="1"/>
        <c:lblAlgn val="ctr"/>
        <c:lblOffset val="100"/>
        <c:noMultiLvlLbl val="0"/>
      </c:catAx>
      <c:valAx>
        <c:axId val="85496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963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 chiffre d'affaires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7294532549628479"/>
          <c:y val="0.18024179620034542"/>
          <c:w val="0.3066912128941629"/>
          <c:h val="0.5641211428882270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98-46FB-9991-15BE1AEC6EED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98-46FB-9991-15BE1AEC6EED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98-46FB-9991-15BE1AEC6EED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98-46FB-9991-15BE1AEC6EED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498-46FB-9991-15BE1AEC6EED}"/>
              </c:ext>
            </c:extLst>
          </c:dPt>
          <c:dPt>
            <c:idx val="5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498-46FB-9991-15BE1AEC6EED}"/>
              </c:ext>
            </c:extLst>
          </c:dPt>
          <c:cat>
            <c:strRef>
              <c:f>'2024'!$G$66:$G$71</c:f>
              <c:strCache>
                <c:ptCount val="6"/>
                <c:pt idx="0">
                  <c:v> Electricité </c:v>
                </c:pt>
                <c:pt idx="1">
                  <c:v> Vente chaleur </c:v>
                </c:pt>
                <c:pt idx="2">
                  <c:v> Valo bioGNV </c:v>
                </c:pt>
                <c:pt idx="3">
                  <c:v> Redevance déchet </c:v>
                </c:pt>
                <c:pt idx="4">
                  <c:v> Vente digestat </c:v>
                </c:pt>
                <c:pt idx="5">
                  <c:v> Autre, Préciser : </c:v>
                </c:pt>
              </c:strCache>
            </c:strRef>
          </c:cat>
          <c:val>
            <c:numRef>
              <c:f>'2024'!$J$66:$J$71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498-46FB-9991-15BE1AEC6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6404280358637764E-2"/>
          <c:y val="0.71328519168264592"/>
          <c:w val="0.97359571964136227"/>
          <c:h val="0.245264031115281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cout</a:t>
            </a:r>
            <a:r>
              <a:rPr lang="fr-FR" baseline="0"/>
              <a:t> de production en €/T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'Comparaison interannuelle'!$B$72</c:f>
              <c:strCache>
                <c:ptCount val="1"/>
                <c:pt idx="0">
                  <c:v>Appro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interannuelle'!$C$72:$F$72</c:f>
              <c:numCache>
                <c:formatCode>#\ ##0.0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5-430C-8EC5-0B952A2606DA}"/>
            </c:ext>
          </c:extLst>
        </c:ser>
        <c:ser>
          <c:idx val="1"/>
          <c:order val="1"/>
          <c:tx>
            <c:strRef>
              <c:f>'Comparaison interannuelle'!$B$73</c:f>
              <c:strCache>
                <c:ptCount val="1"/>
                <c:pt idx="0">
                  <c:v>Digest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interannuelle'!$C$73:$F$73</c:f>
              <c:numCache>
                <c:formatCode>#\ ##0.0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5-430C-8EC5-0B952A2606DA}"/>
            </c:ext>
          </c:extLst>
        </c:ser>
        <c:ser>
          <c:idx val="2"/>
          <c:order val="2"/>
          <c:tx>
            <c:strRef>
              <c:f>'Comparaison interannuelle'!$B$74</c:f>
              <c:strCache>
                <c:ptCount val="1"/>
                <c:pt idx="0">
                  <c:v>Exploit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interannuelle'!$C$74:$F$74</c:f>
              <c:numCache>
                <c:formatCode>#\ ##0.0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5-430C-8EC5-0B952A2606DA}"/>
            </c:ext>
          </c:extLst>
        </c:ser>
        <c:ser>
          <c:idx val="3"/>
          <c:order val="3"/>
          <c:tx>
            <c:strRef>
              <c:f>'Comparaison interannuelle'!$B$75</c:f>
              <c:strCache>
                <c:ptCount val="1"/>
                <c:pt idx="0">
                  <c:v>Autre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interannuelle'!$C$75:$F$75</c:f>
              <c:numCache>
                <c:formatCode>#\ ##0.0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5-430C-8EC5-0B952A2606DA}"/>
            </c:ext>
          </c:extLst>
        </c:ser>
        <c:ser>
          <c:idx val="4"/>
          <c:order val="4"/>
          <c:tx>
            <c:strRef>
              <c:f>'Comparaison interannuelle'!$B$76</c:f>
              <c:strCache>
                <c:ptCount val="1"/>
                <c:pt idx="0">
                  <c:v>Ttravail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interannuelle'!$C$76:$F$76</c:f>
              <c:numCache>
                <c:formatCode>#\ ##0.0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5-430C-8EC5-0B952A2606DA}"/>
            </c:ext>
          </c:extLst>
        </c:ser>
        <c:ser>
          <c:idx val="5"/>
          <c:order val="5"/>
          <c:tx>
            <c:strRef>
              <c:f>'Comparaison interannuelle'!$B$77</c:f>
              <c:strCache>
                <c:ptCount val="1"/>
                <c:pt idx="0">
                  <c:v>Inves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'Comparaison interannuelle'!$C$7:$F$7</c:f>
              <c:numCache>
                <c:formatCode>General</c:formatCode>
                <c:ptCount val="4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2020</c:v>
                </c:pt>
              </c:numCache>
            </c:numRef>
          </c:cat>
          <c:val>
            <c:numRef>
              <c:f>'Comparaison interannuelle'!$C$77:$F$77</c:f>
              <c:numCache>
                <c:formatCode>#\ ##0.0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5-430C-8EC5-0B952A260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4963464"/>
        <c:axId val="854964544"/>
      </c:barChart>
      <c:catAx>
        <c:axId val="85496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964544"/>
        <c:crosses val="autoZero"/>
        <c:auto val="1"/>
        <c:lblAlgn val="ctr"/>
        <c:lblOffset val="100"/>
        <c:noMultiLvlLbl val="0"/>
      </c:catAx>
      <c:valAx>
        <c:axId val="85496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963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r-FR" sz="1400" b="0"/>
              <a:t>Répartition des investissements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289427637334809"/>
          <c:y val="0.17765733967883532"/>
          <c:w val="0.50138209697472025"/>
          <c:h val="0.700031341765071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39-4849-87A5-E51316B7FBF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39-4849-87A5-E51316B7FBF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A39-4849-87A5-E51316B7FBF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A39-4849-87A5-E51316B7FBF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A39-4849-87A5-E51316B7FBF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A39-4849-87A5-E51316B7FBF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A39-4849-87A5-E51316B7FBF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A39-4849-87A5-E51316B7FBFD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A39-4849-87A5-E51316B7FBFD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A39-4849-87A5-E51316B7FBFD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A39-4849-87A5-E51316B7FBFD}"/>
              </c:ext>
            </c:extLst>
          </c:dPt>
          <c:cat>
            <c:strRef>
              <c:f>'À copier'!$G$35:$G$44</c:f>
              <c:strCache>
                <c:ptCount val="10"/>
                <c:pt idx="0">
                  <c:v> Ingénierie/étude </c:v>
                </c:pt>
                <c:pt idx="1">
                  <c:v> Raccordement aux différents réseaux </c:v>
                </c:pt>
                <c:pt idx="2">
                  <c:v> Aménagement du site </c:v>
                </c:pt>
                <c:pt idx="3">
                  <c:v> Stockage, réception et incorpo des entrants </c:v>
                </c:pt>
                <c:pt idx="4">
                  <c:v> Ouvrages de digestion </c:v>
                </c:pt>
                <c:pt idx="5">
                  <c:v> Cogénérateur et équipements annexes </c:v>
                </c:pt>
                <c:pt idx="6">
                  <c:v> Valo chaleur : réseau de chaleur, séchoir... </c:v>
                </c:pt>
                <c:pt idx="7">
                  <c:v> Stockage digestat et séparation de phase </c:v>
                </c:pt>
                <c:pt idx="8">
                  <c:v> Activité annexe (déconditionnement, station GNV si même société que métha...) </c:v>
                </c:pt>
                <c:pt idx="9">
                  <c:v> Autre, Préciser :  </c:v>
                </c:pt>
              </c:strCache>
            </c:strRef>
          </c:cat>
          <c:val>
            <c:numRef>
              <c:f>'À copier'!$I$35:$I$44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A39-4849-87A5-E51316B7F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11988283468410936"/>
          <c:w val="0.39686122568012333"/>
          <c:h val="0.88011716531589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 chiffre d'affaires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7294532549628479"/>
          <c:y val="0.18024179620034542"/>
          <c:w val="0.3066912128941629"/>
          <c:h val="0.5641211428882270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C5B-4EC9-BC82-5E05F519E141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C5B-4EC9-BC82-5E05F519E141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C5B-4EC9-BC82-5E05F519E141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C5B-4EC9-BC82-5E05F519E141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C5B-4EC9-BC82-5E05F519E141}"/>
              </c:ext>
            </c:extLst>
          </c:dPt>
          <c:dPt>
            <c:idx val="5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C5B-4EC9-BC82-5E05F519E141}"/>
              </c:ext>
            </c:extLst>
          </c:dPt>
          <c:cat>
            <c:strRef>
              <c:f>'À copier'!$G$66:$G$71</c:f>
              <c:strCache>
                <c:ptCount val="6"/>
                <c:pt idx="0">
                  <c:v> Electricité </c:v>
                </c:pt>
                <c:pt idx="1">
                  <c:v> Vente chaleur </c:v>
                </c:pt>
                <c:pt idx="2">
                  <c:v> Valo bioGNV </c:v>
                </c:pt>
                <c:pt idx="3">
                  <c:v> Redevance déchet </c:v>
                </c:pt>
                <c:pt idx="4">
                  <c:v> Vente digestat </c:v>
                </c:pt>
                <c:pt idx="5">
                  <c:v> Autre, Préciser : </c:v>
                </c:pt>
              </c:strCache>
            </c:strRef>
          </c:cat>
          <c:val>
            <c:numRef>
              <c:f>'À copier'!$J$66:$J$71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C5B-4EC9-BC82-5E05F519E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6404280358637764E-2"/>
          <c:y val="0.71328519168264592"/>
          <c:w val="0.97359571964136227"/>
          <c:h val="0.245264031115281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406357180812519"/>
          <c:y val="4.4444444444444446E-2"/>
          <c:w val="0.44601420221245358"/>
          <c:h val="0.9231786026746657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F7-4AA0-B348-3DF02B68C585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F7-4AA0-B348-3DF02B68C585}"/>
              </c:ext>
            </c:extLst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F7-4AA0-B348-3DF02B68C585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CF7-4AA0-B348-3DF02B68C585}"/>
              </c:ext>
            </c:extLst>
          </c:dPt>
          <c:dPt>
            <c:idx val="4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CF7-4AA0-B348-3DF02B68C585}"/>
              </c:ext>
            </c:extLst>
          </c:dPt>
          <c:dPt>
            <c:idx val="5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CF7-4AA0-B348-3DF02B68C5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CF7-4AA0-B348-3DF02B68C585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CF7-4AA0-B348-3DF02B68C585}"/>
              </c:ext>
            </c:extLst>
          </c:dPt>
          <c:dPt>
            <c:idx val="8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CF7-4AA0-B348-3DF02B68C585}"/>
              </c:ext>
            </c:extLst>
          </c:dPt>
          <c:cat>
            <c:strRef>
              <c:f>'À copier'!$G$79:$G$86</c:f>
              <c:strCache>
                <c:ptCount val="8"/>
                <c:pt idx="0">
                  <c:v> Fumier </c:v>
                </c:pt>
                <c:pt idx="1">
                  <c:v> Lisier </c:v>
                </c:pt>
                <c:pt idx="2">
                  <c:v> Co-produits végétaux </c:v>
                </c:pt>
                <c:pt idx="3">
                  <c:v> CIVE </c:v>
                </c:pt>
                <c:pt idx="4">
                  <c:v> Culture dédiée/énergie </c:v>
                </c:pt>
                <c:pt idx="5">
                  <c:v> Déchet IAA </c:v>
                </c:pt>
                <c:pt idx="6">
                  <c:v> Biodéchet </c:v>
                </c:pt>
                <c:pt idx="7">
                  <c:v> STEP </c:v>
                </c:pt>
              </c:strCache>
            </c:strRef>
          </c:cat>
          <c:val>
            <c:numRef>
              <c:f>'À copier'!$I$79:$I$86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CF7-4AA0-B348-3DF02B68C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10127234095738033"/>
          <c:w val="0.4496637843582435"/>
          <c:h val="0.859204599425071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investissements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2557147818214296"/>
          <c:y val="0.13311797132035885"/>
          <c:w val="0.73567906686208739"/>
          <c:h val="0.625702196782965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'À copier'!$H$46</c:f>
              <c:strCache>
                <c:ptCount val="1"/>
                <c:pt idx="0">
                  <c:v> Invest initial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'À copier'!$G$47:$G$48</c:f>
              <c:strCache>
                <c:ptCount val="2"/>
                <c:pt idx="0">
                  <c:v> Investissement initial </c:v>
                </c:pt>
                <c:pt idx="1">
                  <c:v>Ré-investissement</c:v>
                </c:pt>
              </c:strCache>
            </c:strRef>
          </c:cat>
          <c:val>
            <c:numRef>
              <c:f>'À copier'!$H$47:$H$48</c:f>
              <c:numCache>
                <c:formatCode>General</c:formatCode>
                <c:ptCount val="2"/>
                <c:pt idx="0" formatCode="_-* #\ ##0\ [$€-40C]_-;\-* #\ ##0\ [$€-40C]_-;_-* &quot;-&quot;??\ [$€-40C]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A-4818-8770-C1C7DA9A641D}"/>
            </c:ext>
          </c:extLst>
        </c:ser>
        <c:ser>
          <c:idx val="1"/>
          <c:order val="1"/>
          <c:tx>
            <c:strRef>
              <c:f>'À copier'!$I$46</c:f>
              <c:strCache>
                <c:ptCount val="1"/>
                <c:pt idx="0">
                  <c:v> Réinvest moteur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'À copier'!$G$47:$G$48</c:f>
              <c:strCache>
                <c:ptCount val="2"/>
                <c:pt idx="0">
                  <c:v> Investissement initial </c:v>
                </c:pt>
                <c:pt idx="1">
                  <c:v>Ré-investissement</c:v>
                </c:pt>
              </c:strCache>
            </c:strRef>
          </c:cat>
          <c:val>
            <c:numRef>
              <c:f>'À copier'!$I$47:$I$48</c:f>
              <c:numCache>
                <c:formatCode>_-* #\ ##0\ [$€-40C]_-;\-* #\ ##0\ [$€-40C]_-;_-* "-"??\ [$€-40C]_-;_-@_-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6A-4818-8770-C1C7DA9A641D}"/>
            </c:ext>
          </c:extLst>
        </c:ser>
        <c:ser>
          <c:idx val="2"/>
          <c:order val="2"/>
          <c:tx>
            <c:strRef>
              <c:f>'À copier'!$J$46</c:f>
              <c:strCache>
                <c:ptCount val="1"/>
                <c:pt idx="0">
                  <c:v> Réinvest renouvellement autre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'À copier'!$G$47:$G$48</c:f>
              <c:strCache>
                <c:ptCount val="2"/>
                <c:pt idx="0">
                  <c:v> Investissement initial </c:v>
                </c:pt>
                <c:pt idx="1">
                  <c:v>Ré-investissement</c:v>
                </c:pt>
              </c:strCache>
            </c:strRef>
          </c:cat>
          <c:val>
            <c:numRef>
              <c:f>'À copier'!$J$47:$J$48</c:f>
              <c:numCache>
                <c:formatCode>_-* #\ ##0\ [$€-40C]_-;\-* #\ ##0\ [$€-40C]_-;_-* "-"??\ [$€-40C]_-;_-@_-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6A-4818-8770-C1C7DA9A641D}"/>
            </c:ext>
          </c:extLst>
        </c:ser>
        <c:ser>
          <c:idx val="3"/>
          <c:order val="3"/>
          <c:tx>
            <c:strRef>
              <c:f>'À copier'!$K$46</c:f>
              <c:strCache>
                <c:ptCount val="1"/>
                <c:pt idx="0">
                  <c:v> Mises aux normes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'À copier'!$G$47:$G$48</c:f>
              <c:strCache>
                <c:ptCount val="2"/>
                <c:pt idx="0">
                  <c:v> Investissement initial </c:v>
                </c:pt>
                <c:pt idx="1">
                  <c:v>Ré-investissement</c:v>
                </c:pt>
              </c:strCache>
            </c:strRef>
          </c:cat>
          <c:val>
            <c:numRef>
              <c:f>'À copier'!$K$47:$K$48</c:f>
              <c:numCache>
                <c:formatCode>_-* #\ ##0\ [$€-40C]_-;\-* #\ ##0\ [$€-40C]_-;_-* "-"??\ [$€-40C]_-;_-@_-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6A-4818-8770-C1C7DA9A6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1009632"/>
        <c:axId val="991011432"/>
      </c:barChart>
      <c:catAx>
        <c:axId val="99100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1011432"/>
        <c:crosses val="autoZero"/>
        <c:auto val="1"/>
        <c:lblAlgn val="ctr"/>
        <c:lblOffset val="100"/>
        <c:noMultiLvlLbl val="0"/>
      </c:catAx>
      <c:valAx>
        <c:axId val="99101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[$€-40C]_-;\-* #\ ##0\ [$€-40C]_-;_-* &quot;-&quot;??\ [$€-40C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100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037950611503571E-2"/>
          <c:y val="0.84566903054312259"/>
          <c:w val="0.93821972189152814"/>
          <c:h val="0.13279665217668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Indicateurs</a:t>
            </a:r>
            <a:r>
              <a:rPr lang="fr-FR" baseline="0"/>
              <a:t> sur l'efficience énergétique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'À copier'!$I$93</c:f>
              <c:strCache>
                <c:ptCount val="1"/>
                <c:pt idx="0">
                  <c:v>Min groupe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'À copier'!$G$94:$H$97</c:f>
              <c:strCache>
                <c:ptCount val="4"/>
                <c:pt idx="0">
                  <c:v>% conso auxiliaire/vente réseau</c:v>
                </c:pt>
                <c:pt idx="1">
                  <c:v>% conso élect sur vente énergie</c:v>
                </c:pt>
                <c:pt idx="2">
                  <c:v>% énergie consommée en torchère</c:v>
                </c:pt>
                <c:pt idx="3">
                  <c:v>% énergie PV sur conso élect totale</c:v>
                </c:pt>
              </c:strCache>
            </c:strRef>
          </c:cat>
          <c:val>
            <c:numRef>
              <c:f>'À copier'!$I$94:$I$97</c:f>
              <c:numCache>
                <c:formatCode>0.0%</c:formatCode>
                <c:ptCount val="4"/>
                <c:pt idx="0">
                  <c:v>0.02</c:v>
                </c:pt>
                <c:pt idx="1">
                  <c:v>0.06</c:v>
                </c:pt>
                <c:pt idx="2">
                  <c:v>0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7-4FEB-8868-6F25FC812BB2}"/>
            </c:ext>
          </c:extLst>
        </c:ser>
        <c:ser>
          <c:idx val="2"/>
          <c:order val="2"/>
          <c:tx>
            <c:strRef>
              <c:f>'À copier'!$K$93</c:f>
              <c:strCache>
                <c:ptCount val="1"/>
                <c:pt idx="0">
                  <c:v>Max groupe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'À copier'!$G$94:$H$97</c:f>
              <c:strCache>
                <c:ptCount val="4"/>
                <c:pt idx="0">
                  <c:v>% conso auxiliaire/vente réseau</c:v>
                </c:pt>
                <c:pt idx="1">
                  <c:v>% conso élect sur vente énergie</c:v>
                </c:pt>
                <c:pt idx="2">
                  <c:v>% énergie consommée en torchère</c:v>
                </c:pt>
                <c:pt idx="3">
                  <c:v>% énergie PV sur conso élect totale</c:v>
                </c:pt>
              </c:strCache>
            </c:strRef>
          </c:cat>
          <c:val>
            <c:numRef>
              <c:f>'À copier'!$K$94:$K$97</c:f>
              <c:numCache>
                <c:formatCode>0.0%</c:formatCode>
                <c:ptCount val="4"/>
                <c:pt idx="0">
                  <c:v>0.06</c:v>
                </c:pt>
                <c:pt idx="1">
                  <c:v>0.12</c:v>
                </c:pt>
                <c:pt idx="2">
                  <c:v>0.05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7-4FEB-8868-6F25FC812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6734512"/>
        <c:axId val="946736672"/>
      </c:barChart>
      <c:scatterChart>
        <c:scatterStyle val="lineMarker"/>
        <c:varyColors val="0"/>
        <c:ser>
          <c:idx val="0"/>
          <c:order val="1"/>
          <c:tx>
            <c:strRef>
              <c:f>'À copier'!$J$93</c:f>
              <c:strCache>
                <c:ptCount val="1"/>
                <c:pt idx="0">
                  <c:v>Mon site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'À copier'!$G$94:$H$97</c:f>
              <c:strCache>
                <c:ptCount val="4"/>
                <c:pt idx="0">
                  <c:v>% conso auxiliaire/vente réseau</c:v>
                </c:pt>
                <c:pt idx="1">
                  <c:v>% conso élect sur vente énergie</c:v>
                </c:pt>
                <c:pt idx="2">
                  <c:v>% énergie consommée en torchère</c:v>
                </c:pt>
                <c:pt idx="3">
                  <c:v>% énergie PV sur conso élect totale</c:v>
                </c:pt>
              </c:strCache>
            </c:strRef>
          </c:xVal>
          <c:yVal>
            <c:numRef>
              <c:f>'À copier'!$J$94:$J$97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57-4FEB-8868-6F25FC812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734512"/>
        <c:axId val="946736672"/>
      </c:scatterChart>
      <c:catAx>
        <c:axId val="94673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736672"/>
        <c:crosses val="autoZero"/>
        <c:auto val="1"/>
        <c:lblAlgn val="ctr"/>
        <c:lblOffset val="100"/>
        <c:noMultiLvlLbl val="0"/>
      </c:catAx>
      <c:valAx>
        <c:axId val="94673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73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Comparaison cout de production - prix de vente et marge nette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'À copier'!$G$121</c:f>
              <c:strCache>
                <c:ptCount val="1"/>
                <c:pt idx="0">
                  <c:v>APPRO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'À copier'!$H$120:$L$120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'À copier'!$H$121:$L$121</c:f>
              <c:numCache>
                <c:formatCode>0.0</c:formatCode>
                <c:ptCount val="5"/>
                <c:pt idx="0" formatCode="0.00">
                  <c:v>0</c:v>
                </c:pt>
                <c:pt idx="1">
                  <c:v>68.161279894563918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8-458D-B809-CF4C61E5907B}"/>
            </c:ext>
          </c:extLst>
        </c:ser>
        <c:ser>
          <c:idx val="1"/>
          <c:order val="1"/>
          <c:tx>
            <c:strRef>
              <c:f>'À copier'!$G$122</c:f>
              <c:strCache>
                <c:ptCount val="1"/>
                <c:pt idx="0">
                  <c:v>DIGESTAT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'À copier'!$H$120:$L$120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'À copier'!$H$122:$L$122</c:f>
              <c:numCache>
                <c:formatCode>0.0</c:formatCode>
                <c:ptCount val="5"/>
                <c:pt idx="0" formatCode="0.00">
                  <c:v>0</c:v>
                </c:pt>
                <c:pt idx="1">
                  <c:v>14.641098695151385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48-458D-B809-CF4C61E5907B}"/>
            </c:ext>
          </c:extLst>
        </c:ser>
        <c:ser>
          <c:idx val="2"/>
          <c:order val="2"/>
          <c:tx>
            <c:strRef>
              <c:f>'À copier'!$G$123</c:f>
              <c:strCache>
                <c:ptCount val="1"/>
                <c:pt idx="0">
                  <c:v>EXPLOITATION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'À copier'!$H$120:$L$120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'À copier'!$H$123:$L$123</c:f>
              <c:numCache>
                <c:formatCode>0.0</c:formatCode>
                <c:ptCount val="5"/>
                <c:pt idx="0" formatCode="0.00">
                  <c:v>0</c:v>
                </c:pt>
                <c:pt idx="1">
                  <c:v>65.433883716714618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48-458D-B809-CF4C61E5907B}"/>
            </c:ext>
          </c:extLst>
        </c:ser>
        <c:ser>
          <c:idx val="3"/>
          <c:order val="3"/>
          <c:tx>
            <c:strRef>
              <c:f>'À copier'!$G$124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'À copier'!$H$120:$L$120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'À copier'!$H$124:$L$124</c:f>
              <c:numCache>
                <c:formatCode>0.0</c:formatCode>
                <c:ptCount val="5"/>
                <c:pt idx="0" formatCode="0.00">
                  <c:v>0</c:v>
                </c:pt>
                <c:pt idx="1">
                  <c:v>10.772352824879945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48-458D-B809-CF4C61E5907B}"/>
            </c:ext>
          </c:extLst>
        </c:ser>
        <c:ser>
          <c:idx val="4"/>
          <c:order val="4"/>
          <c:tx>
            <c:strRef>
              <c:f>'À copier'!$G$125</c:f>
              <c:strCache>
                <c:ptCount val="1"/>
                <c:pt idx="0">
                  <c:v>TRAVAIL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'À copier'!$H$120:$L$120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'À copier'!$H$125:$L$125</c:f>
              <c:numCache>
                <c:formatCode>0.0</c:formatCode>
                <c:ptCount val="5"/>
                <c:pt idx="0" formatCode="0.00">
                  <c:v>0</c:v>
                </c:pt>
                <c:pt idx="1">
                  <c:v>16.411797270432913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48-458D-B809-CF4C61E5907B}"/>
            </c:ext>
          </c:extLst>
        </c:ser>
        <c:ser>
          <c:idx val="5"/>
          <c:order val="5"/>
          <c:tx>
            <c:strRef>
              <c:f>'À copier'!$G$126</c:f>
              <c:strCache>
                <c:ptCount val="1"/>
                <c:pt idx="0">
                  <c:v>INVEST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'À copier'!$H$120:$L$120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'À copier'!$H$126:$L$126</c:f>
              <c:numCache>
                <c:formatCode>0.0</c:formatCode>
                <c:ptCount val="5"/>
                <c:pt idx="0" formatCode="0.00">
                  <c:v>0</c:v>
                </c:pt>
                <c:pt idx="1">
                  <c:v>70.087181862015711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48-458D-B809-CF4C61E5907B}"/>
            </c:ext>
          </c:extLst>
        </c:ser>
        <c:ser>
          <c:idx val="6"/>
          <c:order val="6"/>
          <c:tx>
            <c:strRef>
              <c:f>'À copier'!$G$127</c:f>
              <c:strCache>
                <c:ptCount val="1"/>
                <c:pt idx="0">
                  <c:v>Produit cogé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'À copier'!$H$120:$L$120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'À copier'!$H$127:$L$127</c:f>
              <c:numCache>
                <c:formatCode>General</c:formatCode>
                <c:ptCount val="5"/>
                <c:pt idx="2" formatCode="0.00">
                  <c:v>0</c:v>
                </c:pt>
                <c:pt idx="3">
                  <c:v>223.4539850282946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48-458D-B809-CF4C61E5907B}"/>
            </c:ext>
          </c:extLst>
        </c:ser>
        <c:ser>
          <c:idx val="7"/>
          <c:order val="7"/>
          <c:tx>
            <c:strRef>
              <c:f>'À copier'!$G$128</c:f>
              <c:strCache>
                <c:ptCount val="1"/>
                <c:pt idx="0">
                  <c:v>Produit annexe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'À copier'!$H$120:$L$120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'À copier'!$H$128:$L$128</c:f>
              <c:numCache>
                <c:formatCode>General</c:formatCode>
                <c:ptCount val="5"/>
                <c:pt idx="2" formatCode="0.00">
                  <c:v>0</c:v>
                </c:pt>
                <c:pt idx="3">
                  <c:v>26.411510628931779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48-458D-B809-CF4C61E5907B}"/>
            </c:ext>
          </c:extLst>
        </c:ser>
        <c:ser>
          <c:idx val="8"/>
          <c:order val="8"/>
          <c:tx>
            <c:strRef>
              <c:f>'À copier'!$G$129</c:f>
              <c:strCache>
                <c:ptCount val="1"/>
                <c:pt idx="0">
                  <c:v>Marge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'À copier'!$H$120:$L$120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'À copier'!$H$129:$L$129</c:f>
              <c:numCache>
                <c:formatCode>General</c:formatCode>
                <c:ptCount val="5"/>
                <c:pt idx="4" formatCode="_-* #\ ##0\ [$€-40C]_-;\-* #\ ##0\ [$€-40C]_-;_-* &quot;-&quot;???\ [$€-40C]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48-458D-B809-CF4C61E59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1000632"/>
        <c:axId val="990998112"/>
      </c:barChart>
      <c:catAx>
        <c:axId val="99100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0998112"/>
        <c:crosses val="autoZero"/>
        <c:auto val="1"/>
        <c:lblAlgn val="ctr"/>
        <c:lblOffset val="100"/>
        <c:noMultiLvlLbl val="0"/>
      </c:catAx>
      <c:valAx>
        <c:axId val="99099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€/MWh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1000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 des 6 postes de charges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852-4A80-8E71-E6F33A271C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852-4A80-8E71-E6F33A271C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852-4A80-8E71-E6F33A271C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852-4A80-8E71-E6F33A271CB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852-4A80-8E71-E6F33A271CB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852-4A80-8E71-E6F33A271CB8}"/>
              </c:ext>
            </c:extLst>
          </c:dPt>
          <c:cat>
            <c:strRef>
              <c:f>('À copier'!$G$108:$G$110,'À copier'!$G$113:$G$115)</c:f>
              <c:strCache>
                <c:ptCount val="6"/>
                <c:pt idx="0">
                  <c:v>APPRO</c:v>
                </c:pt>
                <c:pt idx="1">
                  <c:v>DIGESTAT</c:v>
                </c:pt>
                <c:pt idx="2">
                  <c:v>EXPLOITATION</c:v>
                </c:pt>
                <c:pt idx="3">
                  <c:v>AUTRES</c:v>
                </c:pt>
                <c:pt idx="4">
                  <c:v>TRAVAIL</c:v>
                </c:pt>
                <c:pt idx="5">
                  <c:v>INVEST</c:v>
                </c:pt>
              </c:strCache>
            </c:strRef>
          </c:cat>
          <c:val>
            <c:numRef>
              <c:f>('À copier'!$H$108:$H$110,'À copier'!$H$113:$H$115)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52-4A80-8E71-E6F33A271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6406357180812519"/>
          <c:y val="4.4444444444444446E-2"/>
          <c:w val="0.44601420221245358"/>
          <c:h val="0.9231786026746657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B3-4949-B46A-60F5CB33076B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B3-4949-B46A-60F5CB33076B}"/>
              </c:ext>
            </c:extLst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B3-4949-B46A-60F5CB33076B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B3-4949-B46A-60F5CB33076B}"/>
              </c:ext>
            </c:extLst>
          </c:dPt>
          <c:dPt>
            <c:idx val="4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1B3-4949-B46A-60F5CB33076B}"/>
              </c:ext>
            </c:extLst>
          </c:dPt>
          <c:dPt>
            <c:idx val="5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1B3-4949-B46A-60F5CB33076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1B3-4949-B46A-60F5CB33076B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1B3-4949-B46A-60F5CB33076B}"/>
              </c:ext>
            </c:extLst>
          </c:dPt>
          <c:dPt>
            <c:idx val="8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1B3-4949-B46A-60F5CB33076B}"/>
              </c:ext>
            </c:extLst>
          </c:dPt>
          <c:cat>
            <c:strRef>
              <c:f>'2024'!$G$79:$G$86</c:f>
              <c:strCache>
                <c:ptCount val="8"/>
                <c:pt idx="0">
                  <c:v> Fumier </c:v>
                </c:pt>
                <c:pt idx="1">
                  <c:v> Lisier </c:v>
                </c:pt>
                <c:pt idx="2">
                  <c:v> Co-produits végétaux </c:v>
                </c:pt>
                <c:pt idx="3">
                  <c:v> CIVE </c:v>
                </c:pt>
                <c:pt idx="4">
                  <c:v> Culture dédiée/énergie </c:v>
                </c:pt>
                <c:pt idx="5">
                  <c:v> Déchet IAA </c:v>
                </c:pt>
                <c:pt idx="6">
                  <c:v> Biodéchet </c:v>
                </c:pt>
                <c:pt idx="7">
                  <c:v> STEP </c:v>
                </c:pt>
              </c:strCache>
            </c:strRef>
          </c:cat>
          <c:val>
            <c:numRef>
              <c:f>'2024'!$I$79:$I$86</c:f>
              <c:numCache>
                <c:formatCode>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1B3-4949-B46A-60F5CB330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10127234095738033"/>
          <c:w val="0.4496637843582435"/>
          <c:h val="0.859204599425071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investissements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2557147818214296"/>
          <c:y val="0.13311797132035885"/>
          <c:w val="0.73567906686208739"/>
          <c:h val="0.625702196782965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'2024'!$H$46</c:f>
              <c:strCache>
                <c:ptCount val="1"/>
                <c:pt idx="0">
                  <c:v> Invest initial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'2024'!$G$47:$G$48</c:f>
              <c:strCache>
                <c:ptCount val="2"/>
                <c:pt idx="0">
                  <c:v> Investissement initial </c:v>
                </c:pt>
                <c:pt idx="1">
                  <c:v>Ré-investissement</c:v>
                </c:pt>
              </c:strCache>
            </c:strRef>
          </c:cat>
          <c:val>
            <c:numRef>
              <c:f>'2024'!$H$47:$H$48</c:f>
              <c:numCache>
                <c:formatCode>General</c:formatCode>
                <c:ptCount val="2"/>
                <c:pt idx="0" formatCode="_-* #\ ##0\ [$€-40C]_-;\-* #\ ##0\ [$€-40C]_-;_-* &quot;-&quot;??\ [$€-40C]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1-4FA3-97CF-FA6A8661D8BC}"/>
            </c:ext>
          </c:extLst>
        </c:ser>
        <c:ser>
          <c:idx val="1"/>
          <c:order val="1"/>
          <c:tx>
            <c:strRef>
              <c:f>'2024'!$I$46</c:f>
              <c:strCache>
                <c:ptCount val="1"/>
                <c:pt idx="0">
                  <c:v> Réinvest moteur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'2024'!$G$47:$G$48</c:f>
              <c:strCache>
                <c:ptCount val="2"/>
                <c:pt idx="0">
                  <c:v> Investissement initial </c:v>
                </c:pt>
                <c:pt idx="1">
                  <c:v>Ré-investissement</c:v>
                </c:pt>
              </c:strCache>
            </c:strRef>
          </c:cat>
          <c:val>
            <c:numRef>
              <c:f>'2024'!$I$47:$I$48</c:f>
              <c:numCache>
                <c:formatCode>_-* #\ ##0\ [$€-40C]_-;\-* #\ ##0\ [$€-40C]_-;_-* "-"??\ [$€-40C]_-;_-@_-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81-4FA3-97CF-FA6A8661D8BC}"/>
            </c:ext>
          </c:extLst>
        </c:ser>
        <c:ser>
          <c:idx val="2"/>
          <c:order val="2"/>
          <c:tx>
            <c:strRef>
              <c:f>'2024'!$J$46</c:f>
              <c:strCache>
                <c:ptCount val="1"/>
                <c:pt idx="0">
                  <c:v> Réinvest renouvellement autre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'2024'!$G$47:$G$48</c:f>
              <c:strCache>
                <c:ptCount val="2"/>
                <c:pt idx="0">
                  <c:v> Investissement initial </c:v>
                </c:pt>
                <c:pt idx="1">
                  <c:v>Ré-investissement</c:v>
                </c:pt>
              </c:strCache>
            </c:strRef>
          </c:cat>
          <c:val>
            <c:numRef>
              <c:f>'2024'!$J$47:$J$48</c:f>
              <c:numCache>
                <c:formatCode>_-* #\ ##0\ [$€-40C]_-;\-* #\ ##0\ [$€-40C]_-;_-* "-"??\ [$€-40C]_-;_-@_-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81-4FA3-97CF-FA6A8661D8BC}"/>
            </c:ext>
          </c:extLst>
        </c:ser>
        <c:ser>
          <c:idx val="3"/>
          <c:order val="3"/>
          <c:tx>
            <c:strRef>
              <c:f>'2024'!$K$46</c:f>
              <c:strCache>
                <c:ptCount val="1"/>
                <c:pt idx="0">
                  <c:v> Mises aux normes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'2024'!$G$47:$G$48</c:f>
              <c:strCache>
                <c:ptCount val="2"/>
                <c:pt idx="0">
                  <c:v> Investissement initial </c:v>
                </c:pt>
                <c:pt idx="1">
                  <c:v>Ré-investissement</c:v>
                </c:pt>
              </c:strCache>
            </c:strRef>
          </c:cat>
          <c:val>
            <c:numRef>
              <c:f>'2024'!$K$47:$K$48</c:f>
              <c:numCache>
                <c:formatCode>_-* #\ ##0\ [$€-40C]_-;\-* #\ ##0\ [$€-40C]_-;_-* "-"??\ [$€-40C]_-;_-@_-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81-4FA3-97CF-FA6A8661D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1009632"/>
        <c:axId val="991011432"/>
      </c:barChart>
      <c:catAx>
        <c:axId val="99100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1011432"/>
        <c:crosses val="autoZero"/>
        <c:auto val="1"/>
        <c:lblAlgn val="ctr"/>
        <c:lblOffset val="100"/>
        <c:noMultiLvlLbl val="0"/>
      </c:catAx>
      <c:valAx>
        <c:axId val="99101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[$€-40C]_-;\-* #\ ##0\ [$€-40C]_-;_-* &quot;-&quot;??\ [$€-40C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1009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037950611503571E-2"/>
          <c:y val="0.84566903054312259"/>
          <c:w val="0.93821972189152814"/>
          <c:h val="0.13279665217668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Indicateurs</a:t>
            </a:r>
            <a:r>
              <a:rPr lang="fr-FR" baseline="0"/>
              <a:t> sur l'efficience énergétique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'2024'!$I$93</c:f>
              <c:strCache>
                <c:ptCount val="1"/>
                <c:pt idx="0">
                  <c:v>Min groupe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'2024'!$G$94:$H$97</c:f>
              <c:strCache>
                <c:ptCount val="4"/>
                <c:pt idx="0">
                  <c:v>% conso auxiliaire/vente réseau</c:v>
                </c:pt>
                <c:pt idx="1">
                  <c:v>% conso élect sur vente énergie</c:v>
                </c:pt>
                <c:pt idx="2">
                  <c:v>% énergie consommée en torchère</c:v>
                </c:pt>
                <c:pt idx="3">
                  <c:v>% énergie PV sur conso élect totale</c:v>
                </c:pt>
              </c:strCache>
            </c:strRef>
          </c:cat>
          <c:val>
            <c:numRef>
              <c:f>'2024'!$I$94:$I$97</c:f>
              <c:numCache>
                <c:formatCode>0.0%</c:formatCode>
                <c:ptCount val="4"/>
                <c:pt idx="0">
                  <c:v>0.02</c:v>
                </c:pt>
                <c:pt idx="1">
                  <c:v>0.06</c:v>
                </c:pt>
                <c:pt idx="2">
                  <c:v>0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A-4EE9-A5D4-DB59D6719B91}"/>
            </c:ext>
          </c:extLst>
        </c:ser>
        <c:ser>
          <c:idx val="2"/>
          <c:order val="2"/>
          <c:tx>
            <c:strRef>
              <c:f>'2024'!$K$93</c:f>
              <c:strCache>
                <c:ptCount val="1"/>
                <c:pt idx="0">
                  <c:v>Max groupe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'2024'!$G$94:$H$97</c:f>
              <c:strCache>
                <c:ptCount val="4"/>
                <c:pt idx="0">
                  <c:v>% conso auxiliaire/vente réseau</c:v>
                </c:pt>
                <c:pt idx="1">
                  <c:v>% conso élect sur vente énergie</c:v>
                </c:pt>
                <c:pt idx="2">
                  <c:v>% énergie consommée en torchère</c:v>
                </c:pt>
                <c:pt idx="3">
                  <c:v>% énergie PV sur conso élect totale</c:v>
                </c:pt>
              </c:strCache>
            </c:strRef>
          </c:cat>
          <c:val>
            <c:numRef>
              <c:f>'2024'!$K$94:$K$97</c:f>
              <c:numCache>
                <c:formatCode>0.0%</c:formatCode>
                <c:ptCount val="4"/>
                <c:pt idx="0">
                  <c:v>0.06</c:v>
                </c:pt>
                <c:pt idx="1">
                  <c:v>0.12</c:v>
                </c:pt>
                <c:pt idx="2">
                  <c:v>0.05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EA-4EE9-A5D4-DB59D6719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6734512"/>
        <c:axId val="946736672"/>
      </c:barChart>
      <c:scatterChart>
        <c:scatterStyle val="lineMarker"/>
        <c:varyColors val="0"/>
        <c:ser>
          <c:idx val="0"/>
          <c:order val="1"/>
          <c:tx>
            <c:strRef>
              <c:f>'2024'!$J$93</c:f>
              <c:strCache>
                <c:ptCount val="1"/>
                <c:pt idx="0">
                  <c:v>Mon site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'2024'!$G$94:$H$97</c:f>
              <c:strCache>
                <c:ptCount val="4"/>
                <c:pt idx="0">
                  <c:v>% conso auxiliaire/vente réseau</c:v>
                </c:pt>
                <c:pt idx="1">
                  <c:v>% conso élect sur vente énergie</c:v>
                </c:pt>
                <c:pt idx="2">
                  <c:v>% énergie consommée en torchère</c:v>
                </c:pt>
                <c:pt idx="3">
                  <c:v>% énergie PV sur conso élect totale</c:v>
                </c:pt>
              </c:strCache>
            </c:strRef>
          </c:xVal>
          <c:yVal>
            <c:numRef>
              <c:f>'2024'!$J$94:$J$97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EA-4EE9-A5D4-DB59D6719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734512"/>
        <c:axId val="946736672"/>
      </c:scatterChart>
      <c:catAx>
        <c:axId val="94673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736672"/>
        <c:crosses val="autoZero"/>
        <c:auto val="1"/>
        <c:lblAlgn val="ctr"/>
        <c:lblOffset val="100"/>
        <c:noMultiLvlLbl val="0"/>
      </c:catAx>
      <c:valAx>
        <c:axId val="94673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73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Comparaison cout de production - prix de vente et marge nette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'2024'!$G$121</c:f>
              <c:strCache>
                <c:ptCount val="1"/>
                <c:pt idx="0">
                  <c:v>APPRO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'2024'!$H$121:$L$121</c:f>
              <c:numCache>
                <c:formatCode>0.0</c:formatCode>
                <c:ptCount val="5"/>
                <c:pt idx="0" formatCode="0.00">
                  <c:v>0</c:v>
                </c:pt>
                <c:pt idx="1">
                  <c:v>68.161279894563918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A-4972-827F-63E29A22F48D}"/>
            </c:ext>
          </c:extLst>
        </c:ser>
        <c:ser>
          <c:idx val="1"/>
          <c:order val="1"/>
          <c:tx>
            <c:strRef>
              <c:f>'2024'!$G$122</c:f>
              <c:strCache>
                <c:ptCount val="1"/>
                <c:pt idx="0">
                  <c:v>DIGESTAT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'2024'!$H$120:$L$120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'2024'!$H$122:$L$122</c:f>
              <c:numCache>
                <c:formatCode>0.0</c:formatCode>
                <c:ptCount val="5"/>
                <c:pt idx="0" formatCode="0.00">
                  <c:v>0</c:v>
                </c:pt>
                <c:pt idx="1">
                  <c:v>14.641098695151385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A-4972-827F-63E29A22F48D}"/>
            </c:ext>
          </c:extLst>
        </c:ser>
        <c:ser>
          <c:idx val="2"/>
          <c:order val="2"/>
          <c:tx>
            <c:strRef>
              <c:f>'2024'!$G$123</c:f>
              <c:strCache>
                <c:ptCount val="1"/>
                <c:pt idx="0">
                  <c:v>EXPLOITATION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'2024'!$H$120:$L$120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'2024'!$H$123:$L$123</c:f>
              <c:numCache>
                <c:formatCode>0.0</c:formatCode>
                <c:ptCount val="5"/>
                <c:pt idx="0" formatCode="0.00">
                  <c:v>0</c:v>
                </c:pt>
                <c:pt idx="1">
                  <c:v>65.433883716714618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EA-4972-827F-63E29A22F48D}"/>
            </c:ext>
          </c:extLst>
        </c:ser>
        <c:ser>
          <c:idx val="3"/>
          <c:order val="3"/>
          <c:tx>
            <c:strRef>
              <c:f>'2024'!$G$124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'2024'!$H$120:$L$120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'2024'!$H$124:$L$124</c:f>
              <c:numCache>
                <c:formatCode>0.0</c:formatCode>
                <c:ptCount val="5"/>
                <c:pt idx="0" formatCode="0.00">
                  <c:v>0</c:v>
                </c:pt>
                <c:pt idx="1">
                  <c:v>10.772352824879945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EA-4972-827F-63E29A22F48D}"/>
            </c:ext>
          </c:extLst>
        </c:ser>
        <c:ser>
          <c:idx val="4"/>
          <c:order val="4"/>
          <c:tx>
            <c:strRef>
              <c:f>'2024'!$G$125</c:f>
              <c:strCache>
                <c:ptCount val="1"/>
                <c:pt idx="0">
                  <c:v>TRAVAIL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'2024'!$H$120:$L$120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'2024'!$H$125:$L$125</c:f>
              <c:numCache>
                <c:formatCode>0.0</c:formatCode>
                <c:ptCount val="5"/>
                <c:pt idx="0" formatCode="0.00">
                  <c:v>0</c:v>
                </c:pt>
                <c:pt idx="1">
                  <c:v>16.411797270432913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EA-4972-827F-63E29A22F48D}"/>
            </c:ext>
          </c:extLst>
        </c:ser>
        <c:ser>
          <c:idx val="5"/>
          <c:order val="5"/>
          <c:tx>
            <c:strRef>
              <c:f>'2024'!$G$126</c:f>
              <c:strCache>
                <c:ptCount val="1"/>
                <c:pt idx="0">
                  <c:v>INVEST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'2024'!$H$120:$L$120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'2024'!$H$126:$L$126</c:f>
              <c:numCache>
                <c:formatCode>0.0</c:formatCode>
                <c:ptCount val="5"/>
                <c:pt idx="0" formatCode="0.00">
                  <c:v>0</c:v>
                </c:pt>
                <c:pt idx="1">
                  <c:v>70.087181862015711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EA-4972-827F-63E29A22F48D}"/>
            </c:ext>
          </c:extLst>
        </c:ser>
        <c:ser>
          <c:idx val="6"/>
          <c:order val="6"/>
          <c:tx>
            <c:strRef>
              <c:f>'2024'!$G$127</c:f>
              <c:strCache>
                <c:ptCount val="1"/>
                <c:pt idx="0">
                  <c:v>Produit cogé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'2024'!$H$127:$L$127</c:f>
              <c:numCache>
                <c:formatCode>General</c:formatCode>
                <c:ptCount val="5"/>
                <c:pt idx="2" formatCode="0.00">
                  <c:v>0</c:v>
                </c:pt>
                <c:pt idx="3">
                  <c:v>223.4539850282946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EA-4972-827F-63E29A22F48D}"/>
            </c:ext>
          </c:extLst>
        </c:ser>
        <c:ser>
          <c:idx val="7"/>
          <c:order val="7"/>
          <c:tx>
            <c:strRef>
              <c:f>'2024'!$G$128</c:f>
              <c:strCache>
                <c:ptCount val="1"/>
                <c:pt idx="0">
                  <c:v>Produit annexe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'2024'!$H$128:$L$128</c:f>
              <c:numCache>
                <c:formatCode>General</c:formatCode>
                <c:ptCount val="5"/>
                <c:pt idx="2" formatCode="0.00">
                  <c:v>0</c:v>
                </c:pt>
                <c:pt idx="3">
                  <c:v>26.411510628931779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EA-4972-827F-63E29A22F48D}"/>
            </c:ext>
          </c:extLst>
        </c:ser>
        <c:ser>
          <c:idx val="8"/>
          <c:order val="8"/>
          <c:tx>
            <c:strRef>
              <c:f>'2024'!$G$129</c:f>
              <c:strCache>
                <c:ptCount val="1"/>
                <c:pt idx="0">
                  <c:v>Marge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'2024'!$H$120:$L$120</c:f>
              <c:strCache>
                <c:ptCount val="5"/>
                <c:pt idx="0">
                  <c:v>Mon cout de prod complet</c:v>
                </c:pt>
                <c:pt idx="1">
                  <c:v>Cout prod moy 23</c:v>
                </c:pt>
                <c:pt idx="2">
                  <c:v>Mon produit</c:v>
                </c:pt>
                <c:pt idx="3">
                  <c:v>Produit moyen 23</c:v>
                </c:pt>
                <c:pt idx="4">
                  <c:v>Marge</c:v>
                </c:pt>
              </c:strCache>
            </c:strRef>
          </c:cat>
          <c:val>
            <c:numRef>
              <c:f>'2024'!$H$129:$L$129</c:f>
              <c:numCache>
                <c:formatCode>General</c:formatCode>
                <c:ptCount val="5"/>
                <c:pt idx="4" formatCode="_-* #\ ##0\ [$€-40C]_-;\-* #\ ##0\ [$€-40C]_-;_-* &quot;-&quot;???\ [$€-40C]_-;_-@_-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EA-4972-827F-63E29A22F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1000632"/>
        <c:axId val="990998112"/>
      </c:barChart>
      <c:catAx>
        <c:axId val="99100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0998112"/>
        <c:crosses val="autoZero"/>
        <c:auto val="1"/>
        <c:lblAlgn val="ctr"/>
        <c:lblOffset val="100"/>
        <c:noMultiLvlLbl val="0"/>
      </c:catAx>
      <c:valAx>
        <c:axId val="99099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€/MWh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1000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 des 6 postes de charges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FD3-448E-B458-AC300FC0BE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FD3-448E-B458-AC300FC0BE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FD3-448E-B458-AC300FC0BE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FD3-448E-B458-AC300FC0BEF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FD3-448E-B458-AC300FC0BEF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FD3-448E-B458-AC300FC0BEFC}"/>
              </c:ext>
            </c:extLst>
          </c:dPt>
          <c:cat>
            <c:strRef>
              <c:f>('2024'!$G$108:$G$110,'2024'!$G$113:$G$115)</c:f>
              <c:strCache>
                <c:ptCount val="6"/>
                <c:pt idx="0">
                  <c:v>APPRO</c:v>
                </c:pt>
                <c:pt idx="1">
                  <c:v>DIGESTAT</c:v>
                </c:pt>
                <c:pt idx="2">
                  <c:v>EXPLOITATION</c:v>
                </c:pt>
                <c:pt idx="3">
                  <c:v>AUTRES</c:v>
                </c:pt>
                <c:pt idx="4">
                  <c:v>TRAVAIL</c:v>
                </c:pt>
                <c:pt idx="5">
                  <c:v>INVEST</c:v>
                </c:pt>
              </c:strCache>
            </c:strRef>
          </c:cat>
          <c:val>
            <c:numRef>
              <c:f>('2024'!$H$108:$H$110,'2024'!$H$113:$H$115)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FD3-448E-B458-AC300FC0B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r-FR" sz="1400" b="0"/>
              <a:t>Répartition des investissements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289427637334809"/>
          <c:y val="0.17765733967883532"/>
          <c:w val="0.50138209697472025"/>
          <c:h val="0.700031341765071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BA-485A-8FC7-C22B6C705BE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BA-485A-8FC7-C22B6C705BE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BA-485A-8FC7-C22B6C705BE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BA-485A-8FC7-C22B6C705BE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EBA-485A-8FC7-C22B6C705BE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EBA-485A-8FC7-C22B6C705BEA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EBA-485A-8FC7-C22B6C705BEA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EBA-485A-8FC7-C22B6C705BEA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EBA-485A-8FC7-C22B6C705BEA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EBA-485A-8FC7-C22B6C705BEA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EBA-485A-8FC7-C22B6C705BEA}"/>
              </c:ext>
            </c:extLst>
          </c:dPt>
          <c:cat>
            <c:strRef>
              <c:f>'2021'!$G$35:$G$44</c:f>
              <c:strCache>
                <c:ptCount val="10"/>
                <c:pt idx="0">
                  <c:v> Ingénierie/étude </c:v>
                </c:pt>
                <c:pt idx="1">
                  <c:v> Raccordement aux différents réseaux </c:v>
                </c:pt>
                <c:pt idx="2">
                  <c:v> Aménagement du site </c:v>
                </c:pt>
                <c:pt idx="3">
                  <c:v> Stockage, réception et incorpo des entrants </c:v>
                </c:pt>
                <c:pt idx="4">
                  <c:v> Ouvrages de digestion </c:v>
                </c:pt>
                <c:pt idx="5">
                  <c:v> Cogénérateur et équipements annexes </c:v>
                </c:pt>
                <c:pt idx="6">
                  <c:v> Valo chaleur : réseau de chaleur, séchoir... </c:v>
                </c:pt>
                <c:pt idx="7">
                  <c:v> Stockage digestat et séparation de phase </c:v>
                </c:pt>
                <c:pt idx="8">
                  <c:v> Activité annexe (déconditionnement, station GNV si même société que métha...) </c:v>
                </c:pt>
                <c:pt idx="9">
                  <c:v> Autre, Préciser :  </c:v>
                </c:pt>
              </c:strCache>
            </c:strRef>
          </c:cat>
          <c:val>
            <c:numRef>
              <c:f>'2021'!$I$35:$I$44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EBA-485A-8FC7-C22B6C705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11988283468410936"/>
          <c:w val="0.39686122568012333"/>
          <c:h val="0.88011716531589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 chiffre d'affaires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7294532549628479"/>
          <c:y val="0.18024179620034542"/>
          <c:w val="0.3066912128941629"/>
          <c:h val="0.5641211428882270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F1-43CF-8617-C05E289C98DD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F1-43CF-8617-C05E289C98DD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F1-43CF-8617-C05E289C98DD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F1-43CF-8617-C05E289C98DD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2F1-43CF-8617-C05E289C98DD}"/>
              </c:ext>
            </c:extLst>
          </c:dPt>
          <c:dPt>
            <c:idx val="5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2F1-43CF-8617-C05E289C98DD}"/>
              </c:ext>
            </c:extLst>
          </c:dPt>
          <c:cat>
            <c:strRef>
              <c:f>'2021'!$G$66:$G$71</c:f>
              <c:strCache>
                <c:ptCount val="6"/>
                <c:pt idx="0">
                  <c:v> Electricité </c:v>
                </c:pt>
                <c:pt idx="1">
                  <c:v> Vente chaleur </c:v>
                </c:pt>
                <c:pt idx="2">
                  <c:v> Valo bioGNV </c:v>
                </c:pt>
                <c:pt idx="3">
                  <c:v> Redevance déchet </c:v>
                </c:pt>
                <c:pt idx="4">
                  <c:v> Vente digestat </c:v>
                </c:pt>
                <c:pt idx="5">
                  <c:v> Autre, Préciser : </c:v>
                </c:pt>
              </c:strCache>
            </c:strRef>
          </c:cat>
          <c:val>
            <c:numRef>
              <c:f>'2021'!$J$66:$J$71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2F1-43CF-8617-C05E289C9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6404280358637764E-2"/>
          <c:y val="0.71328519168264592"/>
          <c:w val="0.97359571964136227"/>
          <c:h val="0.245264031115281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3.xml"/><Relationship Id="rId7" Type="http://schemas.openxmlformats.org/officeDocument/2006/relationships/chart" Target="../charts/chart5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image" Target="../media/image2.jpeg"/><Relationship Id="rId10" Type="http://schemas.openxmlformats.org/officeDocument/2006/relationships/image" Target="../media/image3.png"/><Relationship Id="rId4" Type="http://schemas.openxmlformats.org/officeDocument/2006/relationships/image" Target="../media/image1.jpeg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10.xml"/><Relationship Id="rId7" Type="http://schemas.openxmlformats.org/officeDocument/2006/relationships/chart" Target="../charts/chart12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image" Target="../media/image2.jpeg"/><Relationship Id="rId10" Type="http://schemas.openxmlformats.org/officeDocument/2006/relationships/image" Target="../media/image3.png"/><Relationship Id="rId4" Type="http://schemas.openxmlformats.org/officeDocument/2006/relationships/image" Target="../media/image1.jpeg"/><Relationship Id="rId9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7" Type="http://schemas.openxmlformats.org/officeDocument/2006/relationships/image" Target="../media/image3.png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3.xml"/><Relationship Id="rId7" Type="http://schemas.openxmlformats.org/officeDocument/2006/relationships/chart" Target="../charts/chart25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4.xml"/><Relationship Id="rId5" Type="http://schemas.openxmlformats.org/officeDocument/2006/relationships/image" Target="../media/image2.jpeg"/><Relationship Id="rId10" Type="http://schemas.openxmlformats.org/officeDocument/2006/relationships/image" Target="../media/image3.png"/><Relationship Id="rId4" Type="http://schemas.openxmlformats.org/officeDocument/2006/relationships/image" Target="../media/image1.jpeg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32</xdr:row>
      <xdr:rowOff>81914</xdr:rowOff>
    </xdr:from>
    <xdr:to>
      <xdr:col>10</xdr:col>
      <xdr:colOff>36643</xdr:colOff>
      <xdr:row>51</xdr:row>
      <xdr:rowOff>49814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7F3F45A-02A5-413B-9C72-0C03B5612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171449</xdr:colOff>
      <xdr:row>65</xdr:row>
      <xdr:rowOff>76200</xdr:rowOff>
    </xdr:from>
    <xdr:to>
      <xdr:col>13</xdr:col>
      <xdr:colOff>1006474</xdr:colOff>
      <xdr:row>75</xdr:row>
      <xdr:rowOff>104775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D708732-7FF5-4A0D-8859-066B9EEE8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171450</xdr:colOff>
      <xdr:row>77</xdr:row>
      <xdr:rowOff>161925</xdr:rowOff>
    </xdr:from>
    <xdr:to>
      <xdr:col>13</xdr:col>
      <xdr:colOff>885825</xdr:colOff>
      <xdr:row>87</xdr:row>
      <xdr:rowOff>9525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A46BC90F-944D-4CB3-9D2E-466A68F4C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0</xdr:colOff>
      <xdr:row>2</xdr:row>
      <xdr:rowOff>0</xdr:rowOff>
    </xdr:from>
    <xdr:to>
      <xdr:col>14</xdr:col>
      <xdr:colOff>2001894</xdr:colOff>
      <xdr:row>16</xdr:row>
      <xdr:rowOff>21995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56E347AD-12FF-4E05-9ECF-A786C62A67C0}"/>
            </a:ext>
          </a:extLst>
        </xdr:cNvPr>
        <xdr:cNvSpPr>
          <a:spLocks noChangeAspect="1" noChangeArrowheads="1"/>
        </xdr:cNvSpPr>
      </xdr:nvSpPr>
      <xdr:spPr bwMode="auto">
        <a:xfrm>
          <a:off x="10689771" y="381000"/>
          <a:ext cx="4799523" cy="26922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172489</xdr:colOff>
      <xdr:row>4</xdr:row>
      <xdr:rowOff>11256</xdr:rowOff>
    </xdr:from>
    <xdr:to>
      <xdr:col>5</xdr:col>
      <xdr:colOff>320548</xdr:colOff>
      <xdr:row>7</xdr:row>
      <xdr:rowOff>138521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D485C39-69EA-47D6-B74B-FBA9FFA0D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8289" y="675285"/>
          <a:ext cx="1233365" cy="739858"/>
        </a:xfrm>
        <a:prstGeom prst="rect">
          <a:avLst/>
        </a:prstGeom>
      </xdr:spPr>
    </xdr:pic>
    <xdr:clientData/>
  </xdr:twoCellAnchor>
  <xdr:twoCellAnchor editAs="oneCell">
    <xdr:from>
      <xdr:col>2</xdr:col>
      <xdr:colOff>72684</xdr:colOff>
      <xdr:row>4</xdr:row>
      <xdr:rowOff>144066</xdr:rowOff>
    </xdr:from>
    <xdr:to>
      <xdr:col>3</xdr:col>
      <xdr:colOff>53374</xdr:colOff>
      <xdr:row>7</xdr:row>
      <xdr:rowOff>104504</xdr:rowOff>
    </xdr:to>
    <xdr:pic>
      <xdr:nvPicPr>
        <xdr:cNvPr id="7" name="Image 6" descr="AAMF | ATEE">
          <a:extLst>
            <a:ext uri="{FF2B5EF4-FFF2-40B4-BE49-F238E27FC236}">
              <a16:creationId xmlns:a16="http://schemas.microsoft.com/office/drawing/2014/main" id="{696B33BC-134D-4960-96BE-2B1770EFC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0798" y="808095"/>
          <a:ext cx="1048851" cy="563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19050</xdr:colOff>
      <xdr:row>32</xdr:row>
      <xdr:rowOff>86676</xdr:rowOff>
    </xdr:from>
    <xdr:to>
      <xdr:col>13</xdr:col>
      <xdr:colOff>1048702</xdr:colOff>
      <xdr:row>51</xdr:row>
      <xdr:rowOff>54576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1F53B3A3-477D-4677-8CD4-08FEA452E6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412935</xdr:colOff>
      <xdr:row>92</xdr:row>
      <xdr:rowOff>7561</xdr:rowOff>
    </xdr:from>
    <xdr:to>
      <xdr:col>13</xdr:col>
      <xdr:colOff>1070160</xdr:colOff>
      <xdr:row>102</xdr:row>
      <xdr:rowOff>91246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91152A7D-17C3-4E60-B761-2810E3747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254821</xdr:colOff>
      <xdr:row>116</xdr:row>
      <xdr:rowOff>188595</xdr:rowOff>
    </xdr:from>
    <xdr:to>
      <xdr:col>13</xdr:col>
      <xdr:colOff>925343</xdr:colOff>
      <xdr:row>131</xdr:row>
      <xdr:rowOff>128531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65C7473C-EEB2-4AC6-B659-DDD61FD31E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117661</xdr:colOff>
      <xdr:row>106</xdr:row>
      <xdr:rowOff>68354</xdr:rowOff>
    </xdr:from>
    <xdr:to>
      <xdr:col>13</xdr:col>
      <xdr:colOff>1075765</xdr:colOff>
      <xdr:row>116</xdr:row>
      <xdr:rowOff>11205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312D6FAD-036D-4699-A36B-FA309407F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1584960</xdr:colOff>
      <xdr:row>7</xdr:row>
      <xdr:rowOff>180212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43E43A34-74D2-5E01-C59E-F9E9DE2D2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70560"/>
          <a:ext cx="1584960" cy="789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32</xdr:row>
      <xdr:rowOff>81914</xdr:rowOff>
    </xdr:from>
    <xdr:to>
      <xdr:col>10</xdr:col>
      <xdr:colOff>36643</xdr:colOff>
      <xdr:row>51</xdr:row>
      <xdr:rowOff>49814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4A6C2E8-026B-4434-8B3F-E614BAB9F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171449</xdr:colOff>
      <xdr:row>65</xdr:row>
      <xdr:rowOff>76200</xdr:rowOff>
    </xdr:from>
    <xdr:to>
      <xdr:col>13</xdr:col>
      <xdr:colOff>1006474</xdr:colOff>
      <xdr:row>75</xdr:row>
      <xdr:rowOff>104775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83B67AA3-20BD-472F-857C-9A8710240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171450</xdr:colOff>
      <xdr:row>77</xdr:row>
      <xdr:rowOff>161925</xdr:rowOff>
    </xdr:from>
    <xdr:to>
      <xdr:col>13</xdr:col>
      <xdr:colOff>885825</xdr:colOff>
      <xdr:row>87</xdr:row>
      <xdr:rowOff>9525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9428DB20-50DF-469A-95DF-39EDFF2C4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0</xdr:colOff>
      <xdr:row>2</xdr:row>
      <xdr:rowOff>0</xdr:rowOff>
    </xdr:from>
    <xdr:to>
      <xdr:col>14</xdr:col>
      <xdr:colOff>1971414</xdr:colOff>
      <xdr:row>16</xdr:row>
      <xdr:rowOff>21995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37407604-1453-41F5-86FB-BEEDFC15AC35}"/>
            </a:ext>
          </a:extLst>
        </xdr:cNvPr>
        <xdr:cNvSpPr>
          <a:spLocks noChangeAspect="1" noChangeArrowheads="1"/>
        </xdr:cNvSpPr>
      </xdr:nvSpPr>
      <xdr:spPr bwMode="auto">
        <a:xfrm>
          <a:off x="10675620" y="381000"/>
          <a:ext cx="4798434" cy="2704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172489</xdr:colOff>
      <xdr:row>4</xdr:row>
      <xdr:rowOff>11256</xdr:rowOff>
    </xdr:from>
    <xdr:to>
      <xdr:col>5</xdr:col>
      <xdr:colOff>320548</xdr:colOff>
      <xdr:row>7</xdr:row>
      <xdr:rowOff>138521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8F0A833E-0EC8-4655-84A4-CF14114A5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8289" y="681816"/>
          <a:ext cx="1222479" cy="736865"/>
        </a:xfrm>
        <a:prstGeom prst="rect">
          <a:avLst/>
        </a:prstGeom>
      </xdr:spPr>
    </xdr:pic>
    <xdr:clientData/>
  </xdr:twoCellAnchor>
  <xdr:twoCellAnchor editAs="oneCell">
    <xdr:from>
      <xdr:col>2</xdr:col>
      <xdr:colOff>72684</xdr:colOff>
      <xdr:row>4</xdr:row>
      <xdr:rowOff>144066</xdr:rowOff>
    </xdr:from>
    <xdr:to>
      <xdr:col>3</xdr:col>
      <xdr:colOff>53374</xdr:colOff>
      <xdr:row>7</xdr:row>
      <xdr:rowOff>104504</xdr:rowOff>
    </xdr:to>
    <xdr:pic>
      <xdr:nvPicPr>
        <xdr:cNvPr id="7" name="Image 6" descr="AAMF | ATEE">
          <a:extLst>
            <a:ext uri="{FF2B5EF4-FFF2-40B4-BE49-F238E27FC236}">
              <a16:creationId xmlns:a16="http://schemas.microsoft.com/office/drawing/2014/main" id="{9EBFA997-FE9F-44F5-8529-1E2FC090D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4064" y="814626"/>
          <a:ext cx="1055110" cy="570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19050</xdr:colOff>
      <xdr:row>32</xdr:row>
      <xdr:rowOff>86676</xdr:rowOff>
    </xdr:from>
    <xdr:to>
      <xdr:col>13</xdr:col>
      <xdr:colOff>1048702</xdr:colOff>
      <xdr:row>51</xdr:row>
      <xdr:rowOff>54576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78CD7375-A32C-4FAD-AB2B-32AFDD0AE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412935</xdr:colOff>
      <xdr:row>92</xdr:row>
      <xdr:rowOff>7561</xdr:rowOff>
    </xdr:from>
    <xdr:to>
      <xdr:col>13</xdr:col>
      <xdr:colOff>1070160</xdr:colOff>
      <xdr:row>102</xdr:row>
      <xdr:rowOff>91246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4AA55F62-4B5B-4CD2-B982-5E2F56F96B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254821</xdr:colOff>
      <xdr:row>116</xdr:row>
      <xdr:rowOff>188595</xdr:rowOff>
    </xdr:from>
    <xdr:to>
      <xdr:col>13</xdr:col>
      <xdr:colOff>925343</xdr:colOff>
      <xdr:row>131</xdr:row>
      <xdr:rowOff>128531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2AF53A5A-0672-4E7A-8896-8F2CC7A9A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117661</xdr:colOff>
      <xdr:row>106</xdr:row>
      <xdr:rowOff>68354</xdr:rowOff>
    </xdr:from>
    <xdr:to>
      <xdr:col>13</xdr:col>
      <xdr:colOff>1075765</xdr:colOff>
      <xdr:row>116</xdr:row>
      <xdr:rowOff>11205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219A16-18E5-47ED-BCBC-9EE03F3F8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1584960</xdr:colOff>
      <xdr:row>7</xdr:row>
      <xdr:rowOff>180212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8462CF77-C386-4DCA-9491-D485F9B1F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70560"/>
          <a:ext cx="1584960" cy="789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385762</xdr:colOff>
      <xdr:row>1</xdr:row>
      <xdr:rowOff>160337</xdr:rowOff>
    </xdr:from>
    <xdr:to>
      <xdr:col>11</xdr:col>
      <xdr:colOff>766762</xdr:colOff>
      <xdr:row>15</xdr:row>
      <xdr:rowOff>68262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B1925830-828E-A68E-4195-97EE0420F4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385762</xdr:colOff>
      <xdr:row>15</xdr:row>
      <xdr:rowOff>128587</xdr:rowOff>
    </xdr:from>
    <xdr:to>
      <xdr:col>11</xdr:col>
      <xdr:colOff>766762</xdr:colOff>
      <xdr:row>29</xdr:row>
      <xdr:rowOff>131762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37198E4A-74DE-380E-BD03-195C815F21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366712</xdr:colOff>
      <xdr:row>29</xdr:row>
      <xdr:rowOff>182562</xdr:rowOff>
    </xdr:from>
    <xdr:to>
      <xdr:col>11</xdr:col>
      <xdr:colOff>747712</xdr:colOff>
      <xdr:row>41</xdr:row>
      <xdr:rowOff>187325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376302C7-22F6-74DF-2F3B-A94B62901A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376237</xdr:colOff>
      <xdr:row>43</xdr:row>
      <xdr:rowOff>176212</xdr:rowOff>
    </xdr:from>
    <xdr:to>
      <xdr:col>11</xdr:col>
      <xdr:colOff>757237</xdr:colOff>
      <xdr:row>59</xdr:row>
      <xdr:rowOff>119062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A4203ADA-973D-3DB1-E4EC-D85196D3BA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366712</xdr:colOff>
      <xdr:row>60</xdr:row>
      <xdr:rowOff>71437</xdr:rowOff>
    </xdr:from>
    <xdr:to>
      <xdr:col>11</xdr:col>
      <xdr:colOff>747712</xdr:colOff>
      <xdr:row>73</xdr:row>
      <xdr:rowOff>195262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D36133E8-2575-F4A3-EFB6-92A71C3AD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371475</xdr:colOff>
      <xdr:row>74</xdr:row>
      <xdr:rowOff>104775</xdr:rowOff>
    </xdr:from>
    <xdr:to>
      <xdr:col>11</xdr:col>
      <xdr:colOff>752475</xdr:colOff>
      <xdr:row>88</xdr:row>
      <xdr:rowOff>28575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D646CD8A-6761-4BDA-8FF4-33F8CBF24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1</xdr:row>
      <xdr:rowOff>68580</xdr:rowOff>
    </xdr:from>
    <xdr:to>
      <xdr:col>1</xdr:col>
      <xdr:colOff>1584960</xdr:colOff>
      <xdr:row>5</xdr:row>
      <xdr:rowOff>72607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D517E0F-758B-4AB4-BC41-66C62D9FE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" y="320040"/>
          <a:ext cx="1584960" cy="8041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32</xdr:row>
      <xdr:rowOff>81914</xdr:rowOff>
    </xdr:from>
    <xdr:to>
      <xdr:col>10</xdr:col>
      <xdr:colOff>36643</xdr:colOff>
      <xdr:row>51</xdr:row>
      <xdr:rowOff>49814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7881B97-FD71-48CA-8692-67561BA5B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171449</xdr:colOff>
      <xdr:row>65</xdr:row>
      <xdr:rowOff>76200</xdr:rowOff>
    </xdr:from>
    <xdr:to>
      <xdr:col>13</xdr:col>
      <xdr:colOff>1006474</xdr:colOff>
      <xdr:row>75</xdr:row>
      <xdr:rowOff>104775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BD8931F-CBB6-4B99-A145-370A3BA2E5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171450</xdr:colOff>
      <xdr:row>77</xdr:row>
      <xdr:rowOff>161925</xdr:rowOff>
    </xdr:from>
    <xdr:to>
      <xdr:col>13</xdr:col>
      <xdr:colOff>885825</xdr:colOff>
      <xdr:row>87</xdr:row>
      <xdr:rowOff>9525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FF6D39C1-F5D5-4E21-9969-9ED0FAAFC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0</xdr:colOff>
      <xdr:row>2</xdr:row>
      <xdr:rowOff>0</xdr:rowOff>
    </xdr:from>
    <xdr:to>
      <xdr:col>14</xdr:col>
      <xdr:colOff>1971414</xdr:colOff>
      <xdr:row>16</xdr:row>
      <xdr:rowOff>21995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3069156D-0874-4E80-A8E9-8F971B4CA5C2}"/>
            </a:ext>
          </a:extLst>
        </xdr:cNvPr>
        <xdr:cNvSpPr>
          <a:spLocks noChangeAspect="1" noChangeArrowheads="1"/>
        </xdr:cNvSpPr>
      </xdr:nvSpPr>
      <xdr:spPr bwMode="auto">
        <a:xfrm>
          <a:off x="10690860" y="381000"/>
          <a:ext cx="4783194" cy="2704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172489</xdr:colOff>
      <xdr:row>4</xdr:row>
      <xdr:rowOff>11256</xdr:rowOff>
    </xdr:from>
    <xdr:to>
      <xdr:col>5</xdr:col>
      <xdr:colOff>320548</xdr:colOff>
      <xdr:row>7</xdr:row>
      <xdr:rowOff>138521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B565C0C4-C928-4133-8CC1-9C91FE638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8289" y="681816"/>
          <a:ext cx="1222479" cy="736865"/>
        </a:xfrm>
        <a:prstGeom prst="rect">
          <a:avLst/>
        </a:prstGeom>
      </xdr:spPr>
    </xdr:pic>
    <xdr:clientData/>
  </xdr:twoCellAnchor>
  <xdr:twoCellAnchor editAs="oneCell">
    <xdr:from>
      <xdr:col>2</xdr:col>
      <xdr:colOff>72684</xdr:colOff>
      <xdr:row>4</xdr:row>
      <xdr:rowOff>144066</xdr:rowOff>
    </xdr:from>
    <xdr:to>
      <xdr:col>3</xdr:col>
      <xdr:colOff>53374</xdr:colOff>
      <xdr:row>7</xdr:row>
      <xdr:rowOff>104504</xdr:rowOff>
    </xdr:to>
    <xdr:pic>
      <xdr:nvPicPr>
        <xdr:cNvPr id="7" name="Image 6" descr="AAMF | ATEE">
          <a:extLst>
            <a:ext uri="{FF2B5EF4-FFF2-40B4-BE49-F238E27FC236}">
              <a16:creationId xmlns:a16="http://schemas.microsoft.com/office/drawing/2014/main" id="{8AD1EE94-3439-4851-9FDD-71FBBF1F9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4064" y="814626"/>
          <a:ext cx="1055110" cy="570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19050</xdr:colOff>
      <xdr:row>32</xdr:row>
      <xdr:rowOff>86676</xdr:rowOff>
    </xdr:from>
    <xdr:to>
      <xdr:col>13</xdr:col>
      <xdr:colOff>1048702</xdr:colOff>
      <xdr:row>51</xdr:row>
      <xdr:rowOff>54576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74924582-A699-4CC7-9BE7-A609449EF0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412935</xdr:colOff>
      <xdr:row>92</xdr:row>
      <xdr:rowOff>7561</xdr:rowOff>
    </xdr:from>
    <xdr:to>
      <xdr:col>13</xdr:col>
      <xdr:colOff>1070160</xdr:colOff>
      <xdr:row>102</xdr:row>
      <xdr:rowOff>91246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BAFE6FDB-66E3-4783-9123-BD219633E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254821</xdr:colOff>
      <xdr:row>116</xdr:row>
      <xdr:rowOff>188595</xdr:rowOff>
    </xdr:from>
    <xdr:to>
      <xdr:col>13</xdr:col>
      <xdr:colOff>925343</xdr:colOff>
      <xdr:row>131</xdr:row>
      <xdr:rowOff>128531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A9A4EBB7-95E9-4E7B-BF0A-75BA9A6C6C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117661</xdr:colOff>
      <xdr:row>106</xdr:row>
      <xdr:rowOff>68354</xdr:rowOff>
    </xdr:from>
    <xdr:to>
      <xdr:col>13</xdr:col>
      <xdr:colOff>1075765</xdr:colOff>
      <xdr:row>116</xdr:row>
      <xdr:rowOff>11205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C4C6586F-5AE6-4477-91CC-0EF64811A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1584960</xdr:colOff>
      <xdr:row>7</xdr:row>
      <xdr:rowOff>180212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46CF5975-5E3D-4531-8D12-CBCE81E53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70560"/>
          <a:ext cx="1584960" cy="789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FF8F6-9C33-4623-9A54-D00098D0F6C1}">
  <sheetPr>
    <tabColor theme="7"/>
    <pageSetUpPr fitToPage="1"/>
  </sheetPr>
  <dimension ref="A1:AE140"/>
  <sheetViews>
    <sheetView showGridLines="0" zoomScaleNormal="100" zoomScaleSheetLayoutView="100" workbookViewId="0">
      <pane xSplit="1" ySplit="1" topLeftCell="B108" activePane="bottomRight" state="frozen"/>
      <selection pane="topRight" activeCell="B1" sqref="B1"/>
      <selection pane="bottomLeft" activeCell="A2" sqref="A2"/>
      <selection pane="bottomRight" activeCell="I115" sqref="I115"/>
    </sheetView>
  </sheetViews>
  <sheetFormatPr baseColWidth="10" defaultRowHeight="15.6" x14ac:dyDescent="0.3"/>
  <cols>
    <col min="1" max="1" width="4" customWidth="1"/>
    <col min="2" max="2" width="40.8984375" style="1" customWidth="1"/>
    <col min="3" max="3" width="14.09765625" customWidth="1"/>
    <col min="4" max="4" width="4" customWidth="1"/>
    <col min="5" max="5" width="10.09765625" style="28" customWidth="1"/>
    <col min="6" max="6" width="5.5" customWidth="1"/>
    <col min="7" max="7" width="14" customWidth="1"/>
    <col min="8" max="8" width="15.3984375" style="26" customWidth="1"/>
    <col min="9" max="9" width="10.69921875" style="26" customWidth="1"/>
    <col min="10" max="10" width="10.3984375" style="26" customWidth="1"/>
    <col min="11" max="12" width="11" style="7"/>
    <col min="13" max="13" width="11.5" style="7" bestFit="1" customWidth="1"/>
    <col min="14" max="14" width="14.19921875" style="7" customWidth="1"/>
    <col min="15" max="15" width="40.59765625" bestFit="1" customWidth="1"/>
  </cols>
  <sheetData>
    <row r="1" spans="1:14" ht="23.25" customHeight="1" x14ac:dyDescent="0.3">
      <c r="A1" s="409" t="s">
        <v>197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ht="7.5" customHeight="1" x14ac:dyDescent="0.4">
      <c r="A2" s="66"/>
      <c r="K2" s="11"/>
      <c r="L2" s="11"/>
      <c r="M2" s="11"/>
      <c r="N2" s="11"/>
    </row>
    <row r="3" spans="1:14" ht="15.75" customHeight="1" x14ac:dyDescent="0.3">
      <c r="A3" s="410" t="s">
        <v>223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</row>
    <row r="4" spans="1:14" ht="7.5" customHeight="1" x14ac:dyDescent="0.3"/>
    <row r="5" spans="1:14" ht="17.399999999999999" customHeight="1" x14ac:dyDescent="0.3">
      <c r="B5"/>
      <c r="G5" s="432" t="s">
        <v>180</v>
      </c>
      <c r="H5" s="433"/>
      <c r="I5" s="433"/>
      <c r="J5" s="433"/>
      <c r="K5" s="433"/>
      <c r="L5" s="433"/>
      <c r="M5" s="433"/>
      <c r="N5" s="434"/>
    </row>
    <row r="6" spans="1:14" ht="15.6" customHeight="1" x14ac:dyDescent="0.3">
      <c r="B6" s="135" t="s">
        <v>181</v>
      </c>
      <c r="G6" s="435" t="s">
        <v>224</v>
      </c>
      <c r="H6" s="436"/>
      <c r="I6" s="436"/>
      <c r="J6" s="436"/>
      <c r="K6" s="436"/>
      <c r="L6" s="436"/>
      <c r="M6" s="436"/>
      <c r="N6" s="437"/>
    </row>
    <row r="7" spans="1:14" ht="15" customHeight="1" x14ac:dyDescent="0.4">
      <c r="F7" s="3"/>
      <c r="G7" s="435"/>
      <c r="H7" s="436"/>
      <c r="I7" s="436"/>
      <c r="J7" s="436"/>
      <c r="K7" s="436"/>
      <c r="L7" s="436"/>
      <c r="M7" s="436"/>
      <c r="N7" s="437"/>
    </row>
    <row r="8" spans="1:14" ht="15" customHeight="1" x14ac:dyDescent="0.4">
      <c r="F8" s="3"/>
      <c r="G8" s="438"/>
      <c r="H8" s="439"/>
      <c r="I8" s="439"/>
      <c r="J8" s="439"/>
      <c r="K8" s="439"/>
      <c r="L8" s="439"/>
      <c r="M8" s="439"/>
      <c r="N8" s="440"/>
    </row>
    <row r="9" spans="1:14" ht="9.75" customHeight="1" thickBot="1" x14ac:dyDescent="0.45">
      <c r="A9" s="4"/>
      <c r="B9" s="3"/>
      <c r="C9" s="3"/>
      <c r="D9" s="3"/>
      <c r="E9" s="29"/>
      <c r="F9" s="3"/>
      <c r="G9" s="3"/>
      <c r="H9" s="27"/>
      <c r="I9" s="27"/>
      <c r="J9" s="27"/>
      <c r="K9" s="8"/>
      <c r="L9" s="8"/>
      <c r="M9" s="8"/>
      <c r="N9" s="8"/>
    </row>
    <row r="10" spans="1:14" ht="21.6" thickBot="1" x14ac:dyDescent="0.45">
      <c r="A10" s="411" t="s">
        <v>51</v>
      </c>
      <c r="B10" s="412"/>
      <c r="C10" s="230"/>
      <c r="D10" s="125" t="s">
        <v>115</v>
      </c>
      <c r="E10" s="231"/>
      <c r="F10" s="95"/>
      <c r="G10" s="413" t="s">
        <v>177</v>
      </c>
      <c r="H10" s="414"/>
      <c r="I10" s="414"/>
      <c r="J10" s="414"/>
      <c r="K10" s="414"/>
      <c r="L10" s="414"/>
      <c r="M10" s="414"/>
      <c r="N10" s="415"/>
    </row>
    <row r="11" spans="1:14" ht="10.5" customHeight="1" thickBot="1" x14ac:dyDescent="0.45">
      <c r="A11" s="4"/>
      <c r="B11" s="3"/>
      <c r="C11" s="3"/>
      <c r="D11" s="3"/>
      <c r="E11" s="29"/>
      <c r="F11" s="95"/>
      <c r="G11" s="3"/>
      <c r="H11" s="27"/>
      <c r="I11" s="27"/>
      <c r="J11" s="27"/>
      <c r="K11" s="8"/>
      <c r="L11" s="8"/>
      <c r="M11" s="8"/>
      <c r="N11" s="8"/>
    </row>
    <row r="12" spans="1:14" ht="21.6" thickBot="1" x14ac:dyDescent="0.45">
      <c r="A12" s="3"/>
      <c r="B12" s="128" t="s">
        <v>182</v>
      </c>
      <c r="C12" s="255" t="s">
        <v>121</v>
      </c>
      <c r="D12" s="127"/>
      <c r="E12" s="126"/>
      <c r="F12" s="95"/>
      <c r="G12" s="67" t="s">
        <v>52</v>
      </c>
      <c r="H12" s="68"/>
      <c r="I12" s="68"/>
      <c r="J12" s="68"/>
      <c r="K12" s="68"/>
      <c r="L12" s="68"/>
      <c r="M12" s="68"/>
      <c r="N12" s="68"/>
    </row>
    <row r="13" spans="1:14" x14ac:dyDescent="0.3">
      <c r="A13" s="416" t="s">
        <v>0</v>
      </c>
      <c r="B13" s="417"/>
      <c r="C13" s="417"/>
      <c r="D13" s="347" t="s">
        <v>24</v>
      </c>
      <c r="E13" s="348"/>
      <c r="F13" s="90"/>
      <c r="G13" s="418" t="s">
        <v>226</v>
      </c>
      <c r="H13" s="419"/>
      <c r="I13" s="419"/>
      <c r="J13" s="419"/>
      <c r="K13" s="419"/>
      <c r="L13" s="419"/>
      <c r="M13" s="419"/>
      <c r="N13" s="420"/>
    </row>
    <row r="14" spans="1:14" x14ac:dyDescent="0.3">
      <c r="A14" s="111"/>
      <c r="B14" s="12" t="s">
        <v>46</v>
      </c>
      <c r="C14" s="427"/>
      <c r="D14" s="428"/>
      <c r="E14" s="429"/>
      <c r="F14" s="90"/>
      <c r="G14" s="421"/>
      <c r="H14" s="422"/>
      <c r="I14" s="422"/>
      <c r="J14" s="422"/>
      <c r="K14" s="422"/>
      <c r="L14" s="422"/>
      <c r="M14" s="422"/>
      <c r="N14" s="423"/>
    </row>
    <row r="15" spans="1:14" x14ac:dyDescent="0.3">
      <c r="A15" s="111"/>
      <c r="B15" s="12" t="s">
        <v>56</v>
      </c>
      <c r="C15" s="232" t="s">
        <v>95</v>
      </c>
      <c r="D15" s="407" t="s">
        <v>55</v>
      </c>
      <c r="E15" s="408"/>
      <c r="F15" s="90"/>
      <c r="G15" s="421"/>
      <c r="H15" s="422"/>
      <c r="I15" s="422"/>
      <c r="J15" s="422"/>
      <c r="K15" s="422"/>
      <c r="L15" s="422"/>
      <c r="M15" s="422"/>
      <c r="N15" s="423"/>
    </row>
    <row r="16" spans="1:14" x14ac:dyDescent="0.3">
      <c r="A16" s="111"/>
      <c r="B16" s="12" t="s">
        <v>110</v>
      </c>
      <c r="C16" s="256"/>
      <c r="D16" s="407"/>
      <c r="E16" s="408"/>
      <c r="F16" s="90"/>
      <c r="G16" s="421"/>
      <c r="H16" s="422"/>
      <c r="I16" s="422"/>
      <c r="J16" s="422"/>
      <c r="K16" s="422"/>
      <c r="L16" s="422"/>
      <c r="M16" s="422"/>
      <c r="N16" s="423"/>
    </row>
    <row r="17" spans="1:25" x14ac:dyDescent="0.3">
      <c r="A17" s="111"/>
      <c r="B17" s="12" t="s">
        <v>47</v>
      </c>
      <c r="C17" s="428"/>
      <c r="D17" s="441"/>
      <c r="E17" s="442"/>
      <c r="F17" s="90"/>
      <c r="G17" s="421"/>
      <c r="H17" s="422"/>
      <c r="I17" s="422"/>
      <c r="J17" s="422"/>
      <c r="K17" s="422"/>
      <c r="L17" s="422"/>
      <c r="M17" s="422"/>
      <c r="N17" s="423"/>
      <c r="W17" s="187" t="s">
        <v>94</v>
      </c>
      <c r="X17" s="188" t="s">
        <v>95</v>
      </c>
      <c r="Y17" s="188" t="s">
        <v>100</v>
      </c>
    </row>
    <row r="18" spans="1:25" x14ac:dyDescent="0.3">
      <c r="A18" s="111"/>
      <c r="B18" s="12" t="s">
        <v>100</v>
      </c>
      <c r="C18" s="234"/>
      <c r="D18" s="407" t="s">
        <v>55</v>
      </c>
      <c r="E18" s="408"/>
      <c r="F18" s="90"/>
      <c r="G18" s="421"/>
      <c r="H18" s="422"/>
      <c r="I18" s="422"/>
      <c r="J18" s="422"/>
      <c r="K18" s="422"/>
      <c r="L18" s="422"/>
      <c r="M18" s="422"/>
      <c r="N18" s="423"/>
      <c r="W18" s="187">
        <v>2023</v>
      </c>
      <c r="X18" s="188" t="s">
        <v>101</v>
      </c>
      <c r="Y18" s="187" t="str">
        <f>IF($C$15="cogé",X18,W18)</f>
        <v>BGM6</v>
      </c>
    </row>
    <row r="19" spans="1:25" x14ac:dyDescent="0.3">
      <c r="A19" s="111"/>
      <c r="B19" s="12" t="s">
        <v>153</v>
      </c>
      <c r="C19" s="233"/>
      <c r="D19" s="407" t="s">
        <v>55</v>
      </c>
      <c r="E19" s="408"/>
      <c r="F19" s="90"/>
      <c r="G19" s="421"/>
      <c r="H19" s="422"/>
      <c r="I19" s="422"/>
      <c r="J19" s="422"/>
      <c r="K19" s="422"/>
      <c r="L19" s="422"/>
      <c r="M19" s="422"/>
      <c r="N19" s="423"/>
      <c r="W19" s="187">
        <v>2021</v>
      </c>
      <c r="X19" s="188" t="s">
        <v>102</v>
      </c>
      <c r="Y19" s="187" t="str">
        <f>IF($C$15="cogé",X19,W19)</f>
        <v>BG11</v>
      </c>
    </row>
    <row r="20" spans="1:25" x14ac:dyDescent="0.3">
      <c r="A20" s="111"/>
      <c r="B20" s="12" t="s">
        <v>154</v>
      </c>
      <c r="C20" s="234"/>
      <c r="D20" s="407" t="s">
        <v>55</v>
      </c>
      <c r="E20" s="408"/>
      <c r="F20" s="90"/>
      <c r="G20" s="421"/>
      <c r="H20" s="422"/>
      <c r="I20" s="422"/>
      <c r="J20" s="422"/>
      <c r="K20" s="422"/>
      <c r="L20" s="422"/>
      <c r="M20" s="422"/>
      <c r="N20" s="423"/>
      <c r="W20" s="187">
        <v>2011</v>
      </c>
      <c r="X20" s="188" t="s">
        <v>103</v>
      </c>
      <c r="Y20" s="187" t="str">
        <f>IF($C$15="cogé",X20,W20)</f>
        <v>BG16</v>
      </c>
    </row>
    <row r="21" spans="1:25" x14ac:dyDescent="0.3">
      <c r="A21" s="111"/>
      <c r="B21" s="12" t="s">
        <v>53</v>
      </c>
      <c r="C21" s="233"/>
      <c r="D21" s="407" t="s">
        <v>55</v>
      </c>
      <c r="E21" s="408"/>
      <c r="F21" s="90"/>
      <c r="G21" s="421"/>
      <c r="H21" s="422"/>
      <c r="I21" s="422"/>
      <c r="J21" s="422"/>
      <c r="K21" s="422"/>
      <c r="L21" s="422"/>
      <c r="M21" s="422"/>
      <c r="N21" s="423"/>
      <c r="W21" s="187"/>
      <c r="X21" s="188" t="s">
        <v>104</v>
      </c>
      <c r="Y21" s="187" t="str">
        <f>IF($C$15="cogé",X21,"")</f>
        <v>Appel d'offre</v>
      </c>
    </row>
    <row r="22" spans="1:25" x14ac:dyDescent="0.3">
      <c r="A22" s="111"/>
      <c r="B22" s="12" t="s">
        <v>183</v>
      </c>
      <c r="C22" s="235"/>
      <c r="D22" s="257" t="s">
        <v>81</v>
      </c>
      <c r="E22" s="103"/>
      <c r="F22" s="90"/>
      <c r="G22" s="421"/>
      <c r="H22" s="422"/>
      <c r="I22" s="422"/>
      <c r="J22" s="422"/>
      <c r="K22" s="422"/>
      <c r="L22" s="422"/>
      <c r="M22" s="422"/>
      <c r="N22" s="423"/>
      <c r="W22" s="187" t="s">
        <v>99</v>
      </c>
      <c r="X22" s="187" t="s">
        <v>99</v>
      </c>
      <c r="Y22" s="187" t="str">
        <f>IF($C$15="cogé",X22,W22)</f>
        <v>Obligatoire</v>
      </c>
    </row>
    <row r="23" spans="1:25" x14ac:dyDescent="0.3">
      <c r="A23" s="111"/>
      <c r="B23" s="59" t="str">
        <f>+IF($C$15="Cogé","P max cogé à la mise en service","Cmax à la mise en service")</f>
        <v>P max cogé à la mise en service</v>
      </c>
      <c r="C23" s="233"/>
      <c r="D23" s="383" t="str">
        <f>+IF($C$15="Cogé","kwé installé",IF($C$15="Injection","m3 CH4/he","Indiquer valo énergie"))</f>
        <v>kwé installé</v>
      </c>
      <c r="E23" s="384"/>
      <c r="F23" s="90"/>
      <c r="G23" s="421"/>
      <c r="H23" s="422"/>
      <c r="I23" s="422"/>
      <c r="J23" s="422"/>
      <c r="K23" s="422"/>
      <c r="L23" s="422"/>
      <c r="M23" s="422"/>
      <c r="N23" s="423"/>
      <c r="W23" s="187"/>
      <c r="X23" s="188"/>
      <c r="Y23" s="187"/>
    </row>
    <row r="24" spans="1:25" x14ac:dyDescent="0.3">
      <c r="A24" s="111"/>
      <c r="B24" s="59" t="str">
        <f>+IF($C$15="Cogé","P max cogé pour l'année enquêtée","Cmax  contrat pour l'année enquêtée")</f>
        <v>P max cogé pour l'année enquêtée</v>
      </c>
      <c r="C24" s="233"/>
      <c r="D24" s="102" t="str">
        <f>+IF($C$15="Cogé","kwé installé",IF(C15="Injection","m3 CH4/he","indiquer valo énergie"))</f>
        <v>kwé installé</v>
      </c>
      <c r="E24" s="103"/>
      <c r="F24" s="90"/>
      <c r="G24" s="421"/>
      <c r="H24" s="422"/>
      <c r="I24" s="422"/>
      <c r="J24" s="422"/>
      <c r="K24" s="422"/>
      <c r="L24" s="422"/>
      <c r="M24" s="422"/>
      <c r="N24" s="423"/>
      <c r="W24" s="187"/>
      <c r="X24" s="187"/>
      <c r="Y24" s="187"/>
    </row>
    <row r="25" spans="1:25" x14ac:dyDescent="0.3">
      <c r="A25" s="111"/>
      <c r="B25" s="12" t="s">
        <v>98</v>
      </c>
      <c r="C25" s="236"/>
      <c r="D25" s="102" t="s">
        <v>97</v>
      </c>
      <c r="E25" s="103"/>
      <c r="F25" s="91"/>
      <c r="G25" s="421"/>
      <c r="H25" s="422"/>
      <c r="I25" s="422"/>
      <c r="J25" s="422"/>
      <c r="K25" s="422"/>
      <c r="L25" s="422"/>
      <c r="M25" s="422"/>
      <c r="N25" s="423"/>
    </row>
    <row r="26" spans="1:25" x14ac:dyDescent="0.3">
      <c r="A26" s="111"/>
      <c r="B26" s="1" t="s">
        <v>114</v>
      </c>
      <c r="C26" s="235"/>
      <c r="D26" s="102" t="s">
        <v>140</v>
      </c>
      <c r="E26" s="103"/>
      <c r="F26" s="91"/>
      <c r="G26" s="421"/>
      <c r="H26" s="422"/>
      <c r="I26" s="422"/>
      <c r="J26" s="422"/>
      <c r="K26" s="422"/>
      <c r="L26" s="422"/>
      <c r="M26" s="422"/>
      <c r="N26" s="423"/>
    </row>
    <row r="27" spans="1:25" x14ac:dyDescent="0.3">
      <c r="A27" s="111"/>
      <c r="B27" s="12" t="s">
        <v>184</v>
      </c>
      <c r="C27" s="237"/>
      <c r="D27" s="102" t="s">
        <v>9</v>
      </c>
      <c r="E27" s="103"/>
      <c r="F27" s="91"/>
      <c r="G27" s="421"/>
      <c r="H27" s="422"/>
      <c r="I27" s="422"/>
      <c r="J27" s="422"/>
      <c r="K27" s="422"/>
      <c r="L27" s="422"/>
      <c r="M27" s="422"/>
      <c r="N27" s="423"/>
    </row>
    <row r="28" spans="1:25" x14ac:dyDescent="0.3">
      <c r="A28" s="111"/>
      <c r="B28" s="12" t="s">
        <v>10</v>
      </c>
      <c r="C28" s="237"/>
      <c r="D28" s="102" t="s">
        <v>83</v>
      </c>
      <c r="E28" s="103"/>
      <c r="F28" s="91"/>
      <c r="G28" s="421"/>
      <c r="H28" s="422"/>
      <c r="I28" s="422"/>
      <c r="J28" s="422"/>
      <c r="K28" s="422"/>
      <c r="L28" s="422"/>
      <c r="M28" s="422"/>
      <c r="N28" s="423"/>
    </row>
    <row r="29" spans="1:25" x14ac:dyDescent="0.3">
      <c r="A29" s="111"/>
      <c r="B29" s="12" t="s">
        <v>185</v>
      </c>
      <c r="C29" s="237"/>
      <c r="D29" s="102" t="s">
        <v>9</v>
      </c>
      <c r="E29" s="103"/>
      <c r="F29" s="91"/>
      <c r="G29" s="421"/>
      <c r="H29" s="422"/>
      <c r="I29" s="422"/>
      <c r="J29" s="422"/>
      <c r="K29" s="422"/>
      <c r="L29" s="422"/>
      <c r="M29" s="422"/>
      <c r="N29" s="423"/>
    </row>
    <row r="30" spans="1:25" ht="16.2" thickBot="1" x14ac:dyDescent="0.35">
      <c r="A30" s="189"/>
      <c r="B30" s="74" t="s">
        <v>196</v>
      </c>
      <c r="C30" s="238"/>
      <c r="D30" s="430" t="s">
        <v>9</v>
      </c>
      <c r="E30" s="431"/>
      <c r="F30" s="91"/>
      <c r="G30" s="424"/>
      <c r="H30" s="425"/>
      <c r="I30" s="425"/>
      <c r="J30" s="425"/>
      <c r="K30" s="425"/>
      <c r="L30" s="425"/>
      <c r="M30" s="425"/>
      <c r="N30" s="426"/>
    </row>
    <row r="31" spans="1:25" ht="5.25" customHeight="1" thickBot="1" x14ac:dyDescent="0.35">
      <c r="F31" s="90"/>
      <c r="G31" s="285" t="s">
        <v>225</v>
      </c>
      <c r="H31" s="75"/>
      <c r="I31" s="75"/>
      <c r="J31" s="75"/>
      <c r="K31" s="75"/>
      <c r="L31" s="75"/>
      <c r="M31" s="75"/>
      <c r="N31" s="75"/>
    </row>
    <row r="32" spans="1:25" x14ac:dyDescent="0.3">
      <c r="A32" s="416" t="s">
        <v>178</v>
      </c>
      <c r="B32" s="417"/>
      <c r="C32" s="46"/>
      <c r="D32" s="347" t="s">
        <v>24</v>
      </c>
      <c r="E32" s="348"/>
      <c r="F32" s="443"/>
      <c r="G32" s="40" t="s">
        <v>58</v>
      </c>
      <c r="H32" s="41"/>
      <c r="I32" s="41"/>
      <c r="J32" s="41"/>
      <c r="K32" s="42"/>
      <c r="L32" s="42"/>
      <c r="M32" s="42"/>
      <c r="N32" s="42"/>
    </row>
    <row r="33" spans="1:31" ht="16.2" thickBot="1" x14ac:dyDescent="0.35">
      <c r="A33" s="47"/>
      <c r="B33" s="76" t="s">
        <v>54</v>
      </c>
      <c r="C33" s="239" t="s">
        <v>229</v>
      </c>
      <c r="D33" s="407" t="s">
        <v>55</v>
      </c>
      <c r="E33" s="408"/>
      <c r="F33" s="443"/>
      <c r="G33" s="6"/>
      <c r="H33" s="6"/>
      <c r="I33" s="6"/>
      <c r="J33" s="6"/>
      <c r="K33" s="6"/>
      <c r="L33" s="6"/>
      <c r="M33" s="6"/>
      <c r="N33" s="6"/>
    </row>
    <row r="34" spans="1:31" x14ac:dyDescent="0.3">
      <c r="A34" s="47"/>
      <c r="B34" s="37" t="s">
        <v>113</v>
      </c>
      <c r="C34" s="240"/>
      <c r="D34" s="366" t="s">
        <v>25</v>
      </c>
      <c r="E34" s="367"/>
      <c r="F34" s="443"/>
      <c r="G34" s="396"/>
      <c r="H34" s="397"/>
      <c r="I34" s="398"/>
      <c r="J34" s="7"/>
    </row>
    <row r="35" spans="1:31" x14ac:dyDescent="0.3">
      <c r="A35" s="48"/>
      <c r="B35" s="13" t="s">
        <v>143</v>
      </c>
      <c r="C35" s="240"/>
      <c r="D35" s="366" t="s">
        <v>25</v>
      </c>
      <c r="E35" s="367"/>
      <c r="F35" s="443"/>
      <c r="G35" s="84" t="str">
        <f t="shared" ref="G35:G42" si="0">B35</f>
        <v>Ingénierie/étude</v>
      </c>
      <c r="H35" s="77"/>
      <c r="I35" s="88" t="e">
        <f t="shared" ref="I35:I44" si="1">C35/$C$45</f>
        <v>#DIV/0!</v>
      </c>
      <c r="J35" s="7"/>
    </row>
    <row r="36" spans="1:31" x14ac:dyDescent="0.3">
      <c r="A36" s="48"/>
      <c r="B36" s="13" t="s">
        <v>173</v>
      </c>
      <c r="C36" s="240"/>
      <c r="D36" s="366" t="s">
        <v>25</v>
      </c>
      <c r="E36" s="367"/>
      <c r="F36" s="443"/>
      <c r="G36" s="86" t="str">
        <f t="shared" si="0"/>
        <v>Raccordement aux différents réseaux</v>
      </c>
      <c r="H36" s="87"/>
      <c r="I36" s="88" t="e">
        <f t="shared" si="1"/>
        <v>#DIV/0!</v>
      </c>
      <c r="J36" s="7"/>
    </row>
    <row r="37" spans="1:31" x14ac:dyDescent="0.3">
      <c r="A37" s="48"/>
      <c r="B37" s="13" t="s">
        <v>1</v>
      </c>
      <c r="C37" s="240"/>
      <c r="D37" s="366" t="s">
        <v>25</v>
      </c>
      <c r="E37" s="367"/>
      <c r="F37" s="443"/>
      <c r="G37" s="86" t="str">
        <f t="shared" si="0"/>
        <v>Aménagement du site</v>
      </c>
      <c r="H37" s="87"/>
      <c r="I37" s="88" t="e">
        <f t="shared" si="1"/>
        <v>#DIV/0!</v>
      </c>
      <c r="J37" s="7"/>
    </row>
    <row r="38" spans="1:31" x14ac:dyDescent="0.3">
      <c r="A38" s="48"/>
      <c r="B38" s="13" t="s">
        <v>111</v>
      </c>
      <c r="C38" s="240"/>
      <c r="D38" s="366" t="s">
        <v>25</v>
      </c>
      <c r="E38" s="367"/>
      <c r="F38" s="443"/>
      <c r="G38" s="86" t="str">
        <f t="shared" si="0"/>
        <v>Stockage, réception et incorpo des entrants</v>
      </c>
      <c r="H38" s="87"/>
      <c r="I38" s="88" t="e">
        <f t="shared" si="1"/>
        <v>#DIV/0!</v>
      </c>
      <c r="J38" s="7"/>
    </row>
    <row r="39" spans="1:31" x14ac:dyDescent="0.3">
      <c r="A39" s="48"/>
      <c r="B39" s="13" t="s">
        <v>15</v>
      </c>
      <c r="C39" s="240"/>
      <c r="D39" s="366" t="s">
        <v>25</v>
      </c>
      <c r="E39" s="367"/>
      <c r="F39" s="443"/>
      <c r="G39" s="86" t="str">
        <f t="shared" si="0"/>
        <v>Ouvrages de digestion</v>
      </c>
      <c r="H39" s="87"/>
      <c r="I39" s="88" t="e">
        <f t="shared" si="1"/>
        <v>#DIV/0!</v>
      </c>
      <c r="J39" s="7"/>
    </row>
    <row r="40" spans="1:31" x14ac:dyDescent="0.3">
      <c r="A40" s="48"/>
      <c r="B40" s="13" t="str">
        <f>IF($C$15="cogé","Cogénérateur et équipements annexes","Epuration et équipements annexes")</f>
        <v>Cogénérateur et équipements annexes</v>
      </c>
      <c r="C40" s="240"/>
      <c r="D40" s="366" t="s">
        <v>25</v>
      </c>
      <c r="E40" s="367"/>
      <c r="F40" s="443"/>
      <c r="G40" s="86" t="str">
        <f t="shared" si="0"/>
        <v>Cogénérateur et équipements annexes</v>
      </c>
      <c r="H40" s="87"/>
      <c r="I40" s="88" t="e">
        <f t="shared" si="1"/>
        <v>#DIV/0!</v>
      </c>
      <c r="J40" s="7"/>
    </row>
    <row r="41" spans="1:31" x14ac:dyDescent="0.3">
      <c r="A41" s="48"/>
      <c r="B41" s="268" t="str">
        <f>IF($C$15="cogé","Valo chaleur : réseau de chaleur, séchoir...","Station GNV, BioCO2")</f>
        <v>Valo chaleur : réseau de chaleur, séchoir...</v>
      </c>
      <c r="C41" s="240"/>
      <c r="D41" s="366" t="s">
        <v>25</v>
      </c>
      <c r="E41" s="367"/>
      <c r="F41" s="443"/>
      <c r="G41" s="86" t="str">
        <f t="shared" si="0"/>
        <v>Valo chaleur : réseau de chaleur, séchoir...</v>
      </c>
      <c r="H41" s="87"/>
      <c r="I41" s="88" t="e">
        <f t="shared" si="1"/>
        <v>#DIV/0!</v>
      </c>
      <c r="J41" s="7"/>
    </row>
    <row r="42" spans="1:31" x14ac:dyDescent="0.3">
      <c r="A42" s="48"/>
      <c r="B42" s="13" t="s">
        <v>112</v>
      </c>
      <c r="C42" s="240"/>
      <c r="D42" s="366" t="s">
        <v>25</v>
      </c>
      <c r="E42" s="367"/>
      <c r="F42" s="443"/>
      <c r="G42" s="86" t="str">
        <f t="shared" si="0"/>
        <v>Stockage digestat et séparation de phase</v>
      </c>
      <c r="H42" s="87"/>
      <c r="I42" s="88" t="e">
        <f t="shared" si="1"/>
        <v>#DIV/0!</v>
      </c>
      <c r="J42" s="7"/>
    </row>
    <row r="43" spans="1:31" ht="31.2" x14ac:dyDescent="0.3">
      <c r="A43" s="48"/>
      <c r="B43" s="270" t="str">
        <f>IF($C$15="cogé","Activité annexe (déconditionnement, station GNV si même société que métha...)","Activité annexe (déconditionnement...)")</f>
        <v>Activité annexe (déconditionnement, station GNV si même société que métha...)</v>
      </c>
      <c r="C43" s="267"/>
      <c r="D43" s="366" t="s">
        <v>25</v>
      </c>
      <c r="E43" s="367"/>
      <c r="F43" s="443"/>
      <c r="G43" s="86" t="str">
        <f>+B43</f>
        <v>Activité annexe (déconditionnement, station GNV si même société que métha...)</v>
      </c>
      <c r="H43" s="87"/>
      <c r="I43" s="88" t="e">
        <f t="shared" si="1"/>
        <v>#DIV/0!</v>
      </c>
      <c r="J43" s="7"/>
    </row>
    <row r="44" spans="1:31" ht="16.2" thickBot="1" x14ac:dyDescent="0.35">
      <c r="A44" s="108"/>
      <c r="B44" s="241" t="s">
        <v>179</v>
      </c>
      <c r="C44" s="240"/>
      <c r="D44" s="366" t="s">
        <v>25</v>
      </c>
      <c r="E44" s="367"/>
      <c r="F44" s="443"/>
      <c r="G44" s="399" t="str">
        <f>+B44</f>
        <v xml:space="preserve">Autre, Préciser : </v>
      </c>
      <c r="H44" s="400"/>
      <c r="I44" s="89" t="e">
        <f t="shared" si="1"/>
        <v>#DIV/0!</v>
      </c>
      <c r="J44" s="7"/>
    </row>
    <row r="45" spans="1:31" s="5" customFormat="1" ht="16.2" thickBot="1" x14ac:dyDescent="0.35">
      <c r="A45" s="49"/>
      <c r="B45" s="14" t="s">
        <v>26</v>
      </c>
      <c r="C45" s="131">
        <f>IF(SUM(C35:C44)=0,C34,IF(SUM(C35:C44)=C34,C34,"répartion à revoir"))</f>
        <v>0</v>
      </c>
      <c r="D45" s="100"/>
      <c r="E45" s="101"/>
      <c r="F45" s="443"/>
      <c r="J45" s="7"/>
      <c r="K45" s="7"/>
      <c r="L45" s="7"/>
      <c r="M45" s="7"/>
      <c r="N45" s="7"/>
      <c r="O45"/>
      <c r="P45"/>
      <c r="Q45"/>
      <c r="R45"/>
      <c r="S45"/>
      <c r="T45"/>
      <c r="U45"/>
      <c r="Z45"/>
      <c r="AA45"/>
      <c r="AB45"/>
      <c r="AC45"/>
      <c r="AD45"/>
      <c r="AE45"/>
    </row>
    <row r="46" spans="1:31" s="5" customFormat="1" ht="4.95" customHeight="1" thickBot="1" x14ac:dyDescent="0.35">
      <c r="F46" s="105"/>
      <c r="G46" s="129"/>
      <c r="H46" s="69" t="s">
        <v>118</v>
      </c>
      <c r="I46" s="129" t="str">
        <f>IF(C15="Cogé","Réinvest moteur","Augmentation Cmax")</f>
        <v>Réinvest moteur</v>
      </c>
      <c r="J46" s="129" t="s">
        <v>116</v>
      </c>
      <c r="K46" s="129" t="s">
        <v>209</v>
      </c>
      <c r="L46" s="7"/>
      <c r="M46" s="7"/>
      <c r="N46" s="7"/>
      <c r="O46"/>
      <c r="P46"/>
      <c r="Q46"/>
      <c r="R46"/>
      <c r="S46"/>
      <c r="T46"/>
      <c r="U46"/>
      <c r="Z46"/>
      <c r="AA46"/>
      <c r="AB46"/>
      <c r="AC46"/>
      <c r="AD46"/>
      <c r="AE46"/>
    </row>
    <row r="47" spans="1:31" s="5" customFormat="1" x14ac:dyDescent="0.3">
      <c r="A47" s="109" t="s">
        <v>109</v>
      </c>
      <c r="B47" s="110"/>
      <c r="C47" s="123"/>
      <c r="D47" s="347" t="s">
        <v>24</v>
      </c>
      <c r="E47" s="348"/>
      <c r="F47" s="105"/>
      <c r="G47" s="69" t="s">
        <v>117</v>
      </c>
      <c r="H47" s="130">
        <f>+C45</f>
        <v>0</v>
      </c>
      <c r="I47" s="124"/>
      <c r="J47" s="124"/>
      <c r="K47" s="271"/>
      <c r="L47" s="7"/>
      <c r="M47" s="7"/>
      <c r="N47" s="7"/>
      <c r="O47"/>
      <c r="P47"/>
      <c r="Q47"/>
      <c r="R47"/>
      <c r="S47"/>
      <c r="T47"/>
      <c r="U47"/>
      <c r="Z47"/>
      <c r="AA47"/>
      <c r="AB47"/>
      <c r="AC47"/>
      <c r="AD47"/>
      <c r="AE47"/>
    </row>
    <row r="48" spans="1:31" s="5" customFormat="1" x14ac:dyDescent="0.3">
      <c r="A48" s="111"/>
      <c r="B48" s="13" t="str">
        <f>+IF($C$15="cogé","Réinvestissement / renouvellement moteur","Réinvest augmentation Cmax")</f>
        <v>Réinvestissement / renouvellement moteur</v>
      </c>
      <c r="C48" s="242"/>
      <c r="D48" s="366" t="s">
        <v>25</v>
      </c>
      <c r="E48" s="367"/>
      <c r="F48" s="105"/>
      <c r="G48" s="12" t="s">
        <v>119</v>
      </c>
      <c r="H48" s="124"/>
      <c r="I48" s="130">
        <f>+C48</f>
        <v>0</v>
      </c>
      <c r="J48" s="130">
        <f>+C49</f>
        <v>0</v>
      </c>
      <c r="K48" s="130">
        <f>C50+C51</f>
        <v>0</v>
      </c>
      <c r="L48" s="7"/>
      <c r="M48" s="7"/>
      <c r="N48" s="7"/>
      <c r="O48"/>
      <c r="P48"/>
      <c r="Q48"/>
      <c r="R48"/>
      <c r="S48"/>
      <c r="T48"/>
      <c r="U48"/>
      <c r="Z48"/>
      <c r="AA48"/>
      <c r="AB48"/>
      <c r="AC48"/>
      <c r="AD48"/>
      <c r="AE48"/>
    </row>
    <row r="49" spans="1:31" s="5" customFormat="1" x14ac:dyDescent="0.3">
      <c r="A49" s="111"/>
      <c r="B49" s="13" t="s">
        <v>108</v>
      </c>
      <c r="C49" s="242"/>
      <c r="D49" s="366" t="s">
        <v>25</v>
      </c>
      <c r="E49" s="367"/>
      <c r="F49" s="105"/>
      <c r="J49" s="7"/>
      <c r="K49" s="7"/>
      <c r="L49" s="7"/>
      <c r="M49" s="7"/>
      <c r="N49" s="7"/>
      <c r="O49"/>
      <c r="P49"/>
      <c r="Q49"/>
      <c r="R49"/>
      <c r="S49"/>
      <c r="T49"/>
      <c r="U49"/>
      <c r="Z49"/>
      <c r="AA49"/>
      <c r="AB49"/>
      <c r="AC49"/>
      <c r="AD49"/>
      <c r="AE49"/>
    </row>
    <row r="50" spans="1:31" s="5" customFormat="1" x14ac:dyDescent="0.3">
      <c r="A50" s="111"/>
      <c r="B50" s="13" t="s">
        <v>210</v>
      </c>
      <c r="C50" s="242"/>
      <c r="D50" s="366" t="s">
        <v>25</v>
      </c>
      <c r="E50" s="367"/>
      <c r="F50" s="105"/>
      <c r="J50" s="7"/>
      <c r="K50" s="7"/>
      <c r="L50" s="7"/>
      <c r="M50" s="7"/>
      <c r="N50" s="7"/>
      <c r="O50"/>
      <c r="P50"/>
      <c r="Q50"/>
      <c r="R50"/>
      <c r="S50"/>
      <c r="T50"/>
      <c r="U50"/>
      <c r="Z50"/>
      <c r="AA50"/>
      <c r="AB50"/>
      <c r="AC50"/>
      <c r="AD50"/>
      <c r="AE50"/>
    </row>
    <row r="51" spans="1:31" s="5" customFormat="1" x14ac:dyDescent="0.3">
      <c r="A51" s="48"/>
      <c r="B51" s="12" t="s">
        <v>211</v>
      </c>
      <c r="C51" s="242"/>
      <c r="D51" s="392" t="s">
        <v>25</v>
      </c>
      <c r="E51" s="393"/>
      <c r="F51" s="105"/>
      <c r="J51" s="7"/>
      <c r="K51" s="7"/>
      <c r="L51" s="7"/>
      <c r="M51" s="7"/>
      <c r="N51" s="7"/>
      <c r="Z51"/>
      <c r="AA51"/>
      <c r="AB51"/>
      <c r="AC51"/>
      <c r="AD51"/>
      <c r="AE51"/>
    </row>
    <row r="52" spans="1:31" s="5" customFormat="1" ht="16.2" thickBot="1" x14ac:dyDescent="0.35">
      <c r="A52" s="65"/>
      <c r="B52" s="112" t="s">
        <v>120</v>
      </c>
      <c r="C52" s="136">
        <f>SUM(C48:C51)</f>
        <v>0</v>
      </c>
      <c r="D52" s="394" t="s">
        <v>25</v>
      </c>
      <c r="E52" s="395"/>
      <c r="F52" s="105"/>
      <c r="G52" s="106"/>
      <c r="I52" s="107"/>
      <c r="J52" s="7"/>
      <c r="K52" s="7"/>
      <c r="L52" s="7"/>
      <c r="M52" s="7"/>
      <c r="N52" s="7"/>
      <c r="Z52"/>
      <c r="AA52"/>
      <c r="AB52"/>
      <c r="AC52"/>
      <c r="AD52"/>
      <c r="AE52"/>
    </row>
    <row r="53" spans="1:31" ht="12.75" customHeight="1" thickBot="1" x14ac:dyDescent="0.35">
      <c r="C53" s="2"/>
      <c r="D53" s="2"/>
      <c r="E53" s="31"/>
      <c r="F53" s="92"/>
      <c r="Z53" s="5"/>
      <c r="AA53" s="5"/>
      <c r="AB53" s="5"/>
      <c r="AC53" s="5"/>
      <c r="AD53" s="5"/>
      <c r="AE53" s="5"/>
    </row>
    <row r="54" spans="1:31" x14ac:dyDescent="0.3">
      <c r="A54" s="70" t="s">
        <v>2</v>
      </c>
      <c r="B54" s="71"/>
      <c r="C54" s="50"/>
      <c r="D54" s="347" t="s">
        <v>24</v>
      </c>
      <c r="E54" s="348"/>
      <c r="F54" s="92"/>
      <c r="G54" s="45" t="s">
        <v>45</v>
      </c>
      <c r="H54" s="43"/>
      <c r="I54" s="43"/>
      <c r="J54" s="43"/>
      <c r="K54" s="44"/>
      <c r="L54" s="44"/>
      <c r="M54" s="44"/>
      <c r="N54" s="42"/>
    </row>
    <row r="55" spans="1:31" x14ac:dyDescent="0.3">
      <c r="A55" s="48"/>
      <c r="B55" s="13" t="s">
        <v>11</v>
      </c>
      <c r="C55" s="258"/>
      <c r="D55" s="366" t="s">
        <v>25</v>
      </c>
      <c r="E55" s="367"/>
      <c r="F55" s="92"/>
      <c r="G55" s="132"/>
      <c r="H55" s="389" t="s">
        <v>118</v>
      </c>
      <c r="I55" s="389"/>
      <c r="J55" s="389" t="s">
        <v>122</v>
      </c>
      <c r="K55" s="389"/>
      <c r="L55" s="390" t="s">
        <v>24</v>
      </c>
      <c r="M55" s="390"/>
      <c r="N55" s="390"/>
    </row>
    <row r="56" spans="1:31" x14ac:dyDescent="0.3">
      <c r="A56" s="48"/>
      <c r="B56" s="13" t="s">
        <v>12</v>
      </c>
      <c r="C56" s="258"/>
      <c r="D56" s="366" t="s">
        <v>25</v>
      </c>
      <c r="E56" s="367"/>
      <c r="F56" s="92"/>
      <c r="G56" s="133" t="s">
        <v>29</v>
      </c>
      <c r="H56" s="391" t="e">
        <f>C58/C45</f>
        <v>#DIV/0!</v>
      </c>
      <c r="I56" s="391"/>
      <c r="J56" s="391" t="e">
        <f>C58/(C45+C52)</f>
        <v>#DIV/0!</v>
      </c>
      <c r="K56" s="391"/>
      <c r="L56" s="386" t="s">
        <v>57</v>
      </c>
      <c r="M56" s="386"/>
      <c r="N56" s="386"/>
    </row>
    <row r="57" spans="1:31" x14ac:dyDescent="0.3">
      <c r="A57" s="48"/>
      <c r="B57" s="241" t="s">
        <v>179</v>
      </c>
      <c r="C57" s="258"/>
      <c r="D57" s="366" t="s">
        <v>25</v>
      </c>
      <c r="E57" s="367"/>
      <c r="F57" s="92"/>
      <c r="G57" s="133" t="s">
        <v>27</v>
      </c>
      <c r="H57" s="385" t="e">
        <f>(C45)/C24</f>
        <v>#DIV/0!</v>
      </c>
      <c r="I57" s="385"/>
      <c r="J57" s="385" t="e">
        <f>(C45+C52)/C24</f>
        <v>#DIV/0!</v>
      </c>
      <c r="K57" s="385"/>
      <c r="L57" s="386" t="str">
        <f>+IF($C$15="Cogé","€/kwé installé",IF(C15="Injection","€/nm3 installé"))</f>
        <v>€/kwé installé</v>
      </c>
      <c r="M57" s="386"/>
      <c r="N57" s="386"/>
    </row>
    <row r="58" spans="1:31" s="5" customFormat="1" ht="16.2" thickBot="1" x14ac:dyDescent="0.35">
      <c r="A58" s="65"/>
      <c r="B58" s="14" t="s">
        <v>13</v>
      </c>
      <c r="C58" s="38">
        <f>SUM(C55:C57)</f>
        <v>0</v>
      </c>
      <c r="D58" s="387" t="s">
        <v>25</v>
      </c>
      <c r="E58" s="388"/>
      <c r="F58" s="92"/>
      <c r="G58" s="133" t="s">
        <v>28</v>
      </c>
      <c r="H58" s="385" t="e">
        <f>(C45-C58)/C24</f>
        <v>#DIV/0!</v>
      </c>
      <c r="I58" s="385"/>
      <c r="J58" s="385" t="e">
        <f>(C45+C52-C58)/C24</f>
        <v>#DIV/0!</v>
      </c>
      <c r="K58" s="385"/>
      <c r="L58" s="386" t="str">
        <f>+IF($C$15="Cogé","€/kwé installé",IF(C15="Injection","€/nm3 installé"))</f>
        <v>€/kwé installé</v>
      </c>
      <c r="M58" s="386"/>
      <c r="N58" s="386"/>
      <c r="Y58"/>
      <c r="Z58"/>
      <c r="AA58"/>
      <c r="AB58"/>
      <c r="AC58"/>
      <c r="AD58"/>
    </row>
    <row r="59" spans="1:31" ht="9" customHeight="1" thickBot="1" x14ac:dyDescent="0.35">
      <c r="C59" s="2"/>
      <c r="D59" s="2"/>
      <c r="F59" s="92"/>
      <c r="G59" s="5"/>
      <c r="H59" s="34"/>
      <c r="I59" s="5"/>
      <c r="J59" s="5"/>
      <c r="K59" s="5"/>
      <c r="N59" s="9"/>
      <c r="Z59" s="5"/>
      <c r="AA59" s="5"/>
      <c r="AB59" s="5"/>
      <c r="AC59" s="5"/>
      <c r="AD59" s="5"/>
      <c r="AE59" s="5"/>
    </row>
    <row r="60" spans="1:31" x14ac:dyDescent="0.3">
      <c r="A60" s="381" t="s">
        <v>3</v>
      </c>
      <c r="B60" s="382"/>
      <c r="C60" s="382"/>
      <c r="D60" s="347" t="s">
        <v>24</v>
      </c>
      <c r="E60" s="348"/>
      <c r="F60" s="92"/>
      <c r="G60" s="45" t="s">
        <v>220</v>
      </c>
      <c r="H60" s="43"/>
      <c r="I60" s="43"/>
      <c r="J60" s="43"/>
      <c r="K60" s="44"/>
      <c r="L60" s="44"/>
      <c r="M60" s="44"/>
      <c r="N60" s="42"/>
    </row>
    <row r="61" spans="1:31" x14ac:dyDescent="0.3">
      <c r="A61" s="111"/>
      <c r="B61" s="12" t="str">
        <f>+IF($C$15="Cogé","Nombre d'heures de fonctionnement sur l'année","Nombre d'heures fonctionnement poste inject")</f>
        <v>Nombre d'heures de fonctionnement sur l'année</v>
      </c>
      <c r="C61" s="233"/>
      <c r="D61" s="102" t="s">
        <v>140</v>
      </c>
      <c r="E61" s="103"/>
      <c r="F61" s="92"/>
      <c r="G61" s="194"/>
      <c r="H61" s="195"/>
      <c r="I61" s="195"/>
      <c r="J61" s="195"/>
      <c r="K61" s="196"/>
      <c r="L61" s="196"/>
      <c r="M61" s="196"/>
      <c r="N61" s="197"/>
    </row>
    <row r="62" spans="1:31" s="17" customFormat="1" x14ac:dyDescent="0.3">
      <c r="A62" s="190"/>
      <c r="B62" s="12" t="str">
        <f>IF(C15="cogé","MWH élec vendus/an (Voir 12 factures de vente)","MWH injec vendus/an (Voir 12 factures de vente)")</f>
        <v>MWH élec vendus/an (Voir 12 factures de vente)</v>
      </c>
      <c r="C62" s="243"/>
      <c r="D62" s="383" t="s">
        <v>48</v>
      </c>
      <c r="E62" s="384"/>
      <c r="F62" s="92"/>
      <c r="G62" s="39" t="s">
        <v>30</v>
      </c>
      <c r="H62" s="53"/>
      <c r="I62" s="51">
        <f>C61/(365*24)</f>
        <v>0</v>
      </c>
      <c r="J62" s="39" t="str">
        <f>+IF($C$15="Cogé","Heure de fonctionnement cogé /heure max de l'année",IF($C$15="Injection","Heure de fonctionnement épurateur/heure max de l'année"))</f>
        <v>Heure de fonctionnement cogé /heure max de l'année</v>
      </c>
      <c r="K62" s="54"/>
      <c r="L62" s="39"/>
      <c r="M62" s="39"/>
      <c r="N62" s="39"/>
      <c r="Z62"/>
      <c r="AA62"/>
      <c r="AB62"/>
      <c r="AC62"/>
      <c r="AD62"/>
      <c r="AE62"/>
    </row>
    <row r="63" spans="1:31" x14ac:dyDescent="0.3">
      <c r="A63" s="190"/>
      <c r="B63" s="52" t="str">
        <f>IF(C15="cogé","Tarif de rachat élect (Moy des 12 mois)","Tarif de rachat inject (Moy des 12 mois hors GO)")</f>
        <v>Tarif de rachat élect (Moy des 12 mois)</v>
      </c>
      <c r="C63" s="244"/>
      <c r="D63" s="383" t="s">
        <v>49</v>
      </c>
      <c r="E63" s="384"/>
      <c r="F63" s="92"/>
      <c r="G63" s="39" t="s">
        <v>31</v>
      </c>
      <c r="H63" s="55"/>
      <c r="I63" s="51" t="e">
        <f>IF(C15="cogé",C62/(C24*365*24/1000),C62/(C24*10.7*365*24/1000))</f>
        <v>#DIV/0!</v>
      </c>
      <c r="J63" s="39" t="s">
        <v>32</v>
      </c>
      <c r="K63" s="54"/>
      <c r="L63" s="39"/>
      <c r="M63" s="39"/>
      <c r="N63" s="39"/>
      <c r="Z63" s="17"/>
      <c r="AA63" s="17"/>
      <c r="AB63" s="17"/>
      <c r="AC63" s="17"/>
      <c r="AD63" s="17"/>
      <c r="AE63" s="17"/>
    </row>
    <row r="64" spans="1:31" x14ac:dyDescent="0.3">
      <c r="A64" s="190"/>
      <c r="B64" s="59" t="str">
        <f>IF(C15="cogé","MWH valorisée en chaleur hors chauffage ou hygié","MWH méthane valorisé hors inj et chaudière (GNV…)")</f>
        <v>MWH valorisée en chaleur hors chauffage ou hygié</v>
      </c>
      <c r="C64" s="242"/>
      <c r="D64" s="383" t="s">
        <v>48</v>
      </c>
      <c r="E64" s="384"/>
      <c r="F64" s="92"/>
    </row>
    <row r="65" spans="1:14" ht="16.2" thickBot="1" x14ac:dyDescent="0.35">
      <c r="A65" s="190"/>
      <c r="B65" s="269" t="str">
        <f>IF(C15="cogé","Tarif de vente (chaleur)","Tarif de vente (GNV ou autre valo hors injé)")</f>
        <v>Tarif de vente (chaleur)</v>
      </c>
      <c r="C65" s="242"/>
      <c r="D65" s="383" t="s">
        <v>49</v>
      </c>
      <c r="E65" s="384"/>
      <c r="F65" s="92"/>
      <c r="G65" s="45" t="s">
        <v>33</v>
      </c>
      <c r="H65" s="43"/>
      <c r="I65" s="42"/>
      <c r="J65" s="42"/>
      <c r="K65" s="42"/>
      <c r="L65" s="42"/>
      <c r="M65" s="42"/>
      <c r="N65" s="42"/>
    </row>
    <row r="66" spans="1:14" x14ac:dyDescent="0.3">
      <c r="A66" s="190"/>
      <c r="B66" s="59" t="s">
        <v>186</v>
      </c>
      <c r="C66" s="122">
        <f>C62*C63+C65*C64</f>
        <v>0</v>
      </c>
      <c r="D66" s="366" t="s">
        <v>25</v>
      </c>
      <c r="E66" s="367"/>
      <c r="F66" s="92"/>
      <c r="G66" s="377" t="str">
        <f>IF(C15="cogé","Electricité","Biométhane")</f>
        <v>Electricité</v>
      </c>
      <c r="H66" s="378"/>
      <c r="I66" s="378"/>
      <c r="J66" s="287" t="e">
        <f>C67/$C$75</f>
        <v>#DIV/0!</v>
      </c>
    </row>
    <row r="67" spans="1:14" ht="16.5" customHeight="1" x14ac:dyDescent="0.3">
      <c r="A67" s="190"/>
      <c r="B67" s="59" t="str">
        <f>IF(C15="cogé","Vente élect : sommes des 12 factures","Vente biométhane (somme 12 factures hors GO)")</f>
        <v>Vente élect : sommes des 12 factures</v>
      </c>
      <c r="C67" s="245"/>
      <c r="D67" s="366" t="s">
        <v>25</v>
      </c>
      <c r="E67" s="367"/>
      <c r="F67" s="92"/>
      <c r="G67" s="375" t="str">
        <f>IF(C15="cogé","Vente chaleur","Valo GNV ou  autre valo CH4")</f>
        <v>Vente chaleur</v>
      </c>
      <c r="H67" s="376"/>
      <c r="I67" s="376"/>
      <c r="J67" s="288" t="e">
        <f>C68/$C$75</f>
        <v>#DIV/0!</v>
      </c>
    </row>
    <row r="68" spans="1:14" x14ac:dyDescent="0.3">
      <c r="A68" s="190"/>
      <c r="B68" s="59" t="str">
        <f>IF(C15="cogé","Vente chaleur","Vente GNV ou autre valo biométhane")</f>
        <v>Vente chaleur</v>
      </c>
      <c r="C68" s="245"/>
      <c r="D68" s="366" t="s">
        <v>25</v>
      </c>
      <c r="E68" s="367"/>
      <c r="F68" s="92"/>
      <c r="G68" s="379" t="str">
        <f>IF($C$15="cogé","Valo bioGNV","Garantie origine")</f>
        <v>Valo bioGNV</v>
      </c>
      <c r="H68" s="380"/>
      <c r="I68" s="380"/>
      <c r="J68" s="288" t="e">
        <f>C69/$C$75</f>
        <v>#DIV/0!</v>
      </c>
    </row>
    <row r="69" spans="1:14" x14ac:dyDescent="0.3">
      <c r="A69" s="190"/>
      <c r="B69" s="59" t="str">
        <f>IF($C$15="cogé","Vente gaz pour valo bioGNV","Valeur GO")</f>
        <v>Vente gaz pour valo bioGNV</v>
      </c>
      <c r="C69" s="245"/>
      <c r="D69" s="366" t="s">
        <v>25</v>
      </c>
      <c r="E69" s="367"/>
      <c r="F69" s="92"/>
      <c r="G69" s="375" t="s">
        <v>65</v>
      </c>
      <c r="H69" s="376"/>
      <c r="I69" s="376"/>
      <c r="J69" s="288" t="e">
        <f>C71/$C$75</f>
        <v>#DIV/0!</v>
      </c>
    </row>
    <row r="70" spans="1:14" x14ac:dyDescent="0.3">
      <c r="A70" s="190"/>
      <c r="B70" s="138" t="s">
        <v>60</v>
      </c>
      <c r="C70" s="122">
        <f>SUM(C67:C69)</f>
        <v>0</v>
      </c>
      <c r="D70" s="366" t="s">
        <v>25</v>
      </c>
      <c r="E70" s="367"/>
      <c r="F70" s="92"/>
      <c r="G70" s="375" t="s">
        <v>59</v>
      </c>
      <c r="H70" s="376"/>
      <c r="I70" s="376"/>
      <c r="J70" s="288" t="e">
        <f>C72/$C$75</f>
        <v>#DIV/0!</v>
      </c>
    </row>
    <row r="71" spans="1:14" x14ac:dyDescent="0.3">
      <c r="A71" s="190"/>
      <c r="B71" s="59" t="s">
        <v>64</v>
      </c>
      <c r="C71" s="242"/>
      <c r="D71" s="366" t="s">
        <v>25</v>
      </c>
      <c r="E71" s="367"/>
      <c r="F71" s="92"/>
      <c r="G71" s="375" t="str">
        <f>'Comparaison interannuelle'!B40</f>
        <v>Autre, Préciser :</v>
      </c>
      <c r="H71" s="376"/>
      <c r="I71" s="376"/>
      <c r="J71" s="288" t="e">
        <f>C73/$C$75</f>
        <v>#DIV/0!</v>
      </c>
    </row>
    <row r="72" spans="1:14" ht="16.2" thickBot="1" x14ac:dyDescent="0.35">
      <c r="A72" s="190"/>
      <c r="B72" s="59" t="s">
        <v>59</v>
      </c>
      <c r="C72" s="242"/>
      <c r="D72" s="366" t="s">
        <v>25</v>
      </c>
      <c r="E72" s="367"/>
      <c r="F72" s="92"/>
      <c r="G72" s="368" t="s">
        <v>63</v>
      </c>
      <c r="H72" s="369"/>
      <c r="I72" s="369"/>
      <c r="J72" s="289" t="e">
        <f>SUM(J66:J71)</f>
        <v>#DIV/0!</v>
      </c>
    </row>
    <row r="73" spans="1:14" ht="15.75" customHeight="1" x14ac:dyDescent="0.3">
      <c r="A73" s="190"/>
      <c r="B73" s="241" t="s">
        <v>179</v>
      </c>
      <c r="C73" s="245"/>
      <c r="D73" s="366" t="s">
        <v>25</v>
      </c>
      <c r="E73" s="367"/>
      <c r="F73" s="92"/>
      <c r="G73" s="370"/>
      <c r="H73" s="371"/>
      <c r="I73" s="371"/>
      <c r="J73" s="372"/>
    </row>
    <row r="74" spans="1:14" ht="15.6" customHeight="1" x14ac:dyDescent="0.3">
      <c r="A74" s="190"/>
      <c r="B74" s="138" t="s">
        <v>61</v>
      </c>
      <c r="C74" s="72">
        <f>SUM(C71:C73)</f>
        <v>0</v>
      </c>
      <c r="D74" s="366" t="s">
        <v>25</v>
      </c>
      <c r="E74" s="367"/>
      <c r="F74" s="92"/>
      <c r="G74" s="373" t="str">
        <f>IF(C15="cogé","Prix vente élec recalculé (CA total/KWélec vendus)","Prix vente CH4 recalculé (CA total/KWCH4 vendus)")</f>
        <v>Prix vente élec recalculé (CA total/KWélec vendus)</v>
      </c>
      <c r="H74" s="374"/>
      <c r="I74" s="374"/>
      <c r="J74" s="140" t="e">
        <f>C75/C62</f>
        <v>#DIV/0!</v>
      </c>
    </row>
    <row r="75" spans="1:14" ht="18.75" customHeight="1" thickBot="1" x14ac:dyDescent="0.35">
      <c r="A75" s="191"/>
      <c r="B75" s="56" t="s">
        <v>16</v>
      </c>
      <c r="C75" s="38">
        <f>+C74+C70</f>
        <v>0</v>
      </c>
      <c r="D75" s="362"/>
      <c r="E75" s="363"/>
      <c r="F75" s="92"/>
      <c r="G75" s="364" t="str">
        <f>IF(C15="cogé","Prix vente du biogaz recalculé (CA total/Kwh PCS produits)","")</f>
        <v>Prix vente du biogaz recalculé (CA total/Kwh PCS produits)</v>
      </c>
      <c r="H75" s="365"/>
      <c r="I75" s="365"/>
      <c r="J75" s="141" t="e">
        <f>J74*C93</f>
        <v>#DIV/0!</v>
      </c>
      <c r="K75" s="15"/>
      <c r="L75"/>
      <c r="M75"/>
    </row>
    <row r="76" spans="1:14" ht="9.75" customHeight="1" thickBot="1" x14ac:dyDescent="0.35">
      <c r="A76" s="6"/>
      <c r="B76" s="21"/>
      <c r="C76" s="104"/>
      <c r="D76" s="104"/>
      <c r="E76" s="104"/>
      <c r="H76"/>
      <c r="I76"/>
      <c r="J76"/>
      <c r="K76"/>
      <c r="L76"/>
      <c r="M76"/>
      <c r="N76"/>
    </row>
    <row r="77" spans="1:14" x14ac:dyDescent="0.3">
      <c r="A77" s="345" t="s">
        <v>35</v>
      </c>
      <c r="B77" s="346"/>
      <c r="C77" s="346"/>
      <c r="D77" s="347" t="s">
        <v>24</v>
      </c>
      <c r="E77" s="348"/>
      <c r="F77" s="92"/>
      <c r="G77" s="45" t="s">
        <v>75</v>
      </c>
      <c r="H77" s="43"/>
      <c r="I77" s="42"/>
      <c r="J77" s="42"/>
      <c r="K77" s="42"/>
      <c r="L77" s="42"/>
      <c r="M77" s="42"/>
      <c r="N77" s="42"/>
    </row>
    <row r="78" spans="1:14" ht="16.2" thickBot="1" x14ac:dyDescent="0.35">
      <c r="A78" s="192"/>
      <c r="B78" s="57" t="s">
        <v>66</v>
      </c>
      <c r="C78" s="246"/>
      <c r="D78" s="354" t="s">
        <v>82</v>
      </c>
      <c r="E78" s="355"/>
      <c r="F78" s="92"/>
      <c r="J78" s="7"/>
    </row>
    <row r="79" spans="1:14" x14ac:dyDescent="0.3">
      <c r="A79" s="192"/>
      <c r="B79" s="57" t="s">
        <v>67</v>
      </c>
      <c r="C79" s="246"/>
      <c r="D79" s="354" t="s">
        <v>82</v>
      </c>
      <c r="E79" s="355"/>
      <c r="F79" s="92"/>
      <c r="G79" s="80" t="s">
        <v>69</v>
      </c>
      <c r="H79" s="81"/>
      <c r="I79" s="82" t="e">
        <f t="shared" ref="I79:I86" si="2">C78/$C$86</f>
        <v>#DIV/0!</v>
      </c>
      <c r="J79" s="7"/>
    </row>
    <row r="80" spans="1:14" x14ac:dyDescent="0.3">
      <c r="A80" s="192"/>
      <c r="B80" s="57" t="s">
        <v>193</v>
      </c>
      <c r="C80" s="246"/>
      <c r="D80" s="354" t="s">
        <v>82</v>
      </c>
      <c r="E80" s="355"/>
      <c r="F80" s="92"/>
      <c r="G80" s="84" t="s">
        <v>70</v>
      </c>
      <c r="H80" s="78"/>
      <c r="I80" s="83" t="e">
        <f t="shared" si="2"/>
        <v>#DIV/0!</v>
      </c>
      <c r="J80" s="7"/>
    </row>
    <row r="81" spans="1:15" x14ac:dyDescent="0.3">
      <c r="A81" s="192"/>
      <c r="B81" s="57" t="s">
        <v>194</v>
      </c>
      <c r="C81" s="246"/>
      <c r="D81" s="354" t="s">
        <v>82</v>
      </c>
      <c r="E81" s="355"/>
      <c r="F81" s="92"/>
      <c r="G81" s="84" t="s">
        <v>71</v>
      </c>
      <c r="H81" s="78"/>
      <c r="I81" s="83" t="e">
        <f t="shared" si="2"/>
        <v>#DIV/0!</v>
      </c>
      <c r="J81" s="7"/>
    </row>
    <row r="82" spans="1:15" x14ac:dyDescent="0.3">
      <c r="A82" s="192"/>
      <c r="B82" s="57" t="s">
        <v>22</v>
      </c>
      <c r="C82" s="246"/>
      <c r="D82" s="354" t="s">
        <v>82</v>
      </c>
      <c r="E82" s="355"/>
      <c r="F82" s="92"/>
      <c r="G82" s="84" t="s">
        <v>72</v>
      </c>
      <c r="H82" s="78"/>
      <c r="I82" s="83" t="e">
        <f t="shared" si="2"/>
        <v>#DIV/0!</v>
      </c>
      <c r="J82" s="7"/>
    </row>
    <row r="83" spans="1:15" x14ac:dyDescent="0.3">
      <c r="A83" s="192"/>
      <c r="B83" s="57" t="s">
        <v>195</v>
      </c>
      <c r="C83" s="246"/>
      <c r="D83" s="354" t="s">
        <v>82</v>
      </c>
      <c r="E83" s="355"/>
      <c r="F83" s="92"/>
      <c r="G83" s="84" t="s">
        <v>134</v>
      </c>
      <c r="H83" s="78"/>
      <c r="I83" s="83" t="e">
        <f t="shared" si="2"/>
        <v>#DIV/0!</v>
      </c>
      <c r="J83" s="7"/>
    </row>
    <row r="84" spans="1:15" x14ac:dyDescent="0.3">
      <c r="A84" s="192"/>
      <c r="B84" s="57" t="s">
        <v>123</v>
      </c>
      <c r="C84" s="246"/>
      <c r="D84" s="354" t="s">
        <v>82</v>
      </c>
      <c r="E84" s="355"/>
      <c r="F84" s="92"/>
      <c r="G84" s="84" t="s">
        <v>73</v>
      </c>
      <c r="H84" s="78"/>
      <c r="I84" s="83" t="e">
        <f t="shared" si="2"/>
        <v>#DIV/0!</v>
      </c>
      <c r="J84" s="7"/>
    </row>
    <row r="85" spans="1:15" x14ac:dyDescent="0.3">
      <c r="A85" s="192"/>
      <c r="B85" s="57" t="s">
        <v>89</v>
      </c>
      <c r="C85" s="246"/>
      <c r="D85" s="354" t="s">
        <v>82</v>
      </c>
      <c r="E85" s="355"/>
      <c r="F85" s="92"/>
      <c r="G85" s="84" t="s">
        <v>74</v>
      </c>
      <c r="H85" s="78"/>
      <c r="I85" s="83" t="e">
        <f t="shared" si="2"/>
        <v>#DIV/0!</v>
      </c>
      <c r="J85" s="7"/>
    </row>
    <row r="86" spans="1:15" x14ac:dyDescent="0.3">
      <c r="A86" s="192"/>
      <c r="B86" s="63" t="s">
        <v>219</v>
      </c>
      <c r="C86" s="60">
        <f>IF(SUM(C78:C85)&lt;=0,C28,SUM(C78:C85))</f>
        <v>0</v>
      </c>
      <c r="D86" s="354" t="s">
        <v>82</v>
      </c>
      <c r="E86" s="355"/>
      <c r="F86" s="92"/>
      <c r="G86" s="84" t="s">
        <v>68</v>
      </c>
      <c r="H86" s="78"/>
      <c r="I86" s="83" t="e">
        <f t="shared" si="2"/>
        <v>#DIV/0!</v>
      </c>
      <c r="J86" s="73"/>
    </row>
    <row r="87" spans="1:15" ht="16.2" thickBot="1" x14ac:dyDescent="0.35">
      <c r="A87" s="192"/>
      <c r="B87" s="57" t="s">
        <v>216</v>
      </c>
      <c r="C87" s="247"/>
      <c r="D87" s="354" t="s">
        <v>82</v>
      </c>
      <c r="E87" s="355"/>
      <c r="F87" s="92"/>
      <c r="G87" s="118" t="s">
        <v>63</v>
      </c>
      <c r="H87" s="119"/>
      <c r="I87" s="85" t="e">
        <f>SUM(I79:I86)</f>
        <v>#DIV/0!</v>
      </c>
      <c r="J87" s="35"/>
    </row>
    <row r="88" spans="1:15" x14ac:dyDescent="0.3">
      <c r="A88" s="192"/>
      <c r="B88" s="57" t="s">
        <v>217</v>
      </c>
      <c r="C88" s="247"/>
      <c r="D88" s="354" t="s">
        <v>82</v>
      </c>
      <c r="E88" s="355"/>
      <c r="F88" s="92"/>
    </row>
    <row r="89" spans="1:15" x14ac:dyDescent="0.3">
      <c r="A89" s="192"/>
      <c r="B89" s="57" t="s">
        <v>218</v>
      </c>
      <c r="C89" s="247"/>
      <c r="D89" s="354" t="s">
        <v>82</v>
      </c>
      <c r="E89" s="355"/>
      <c r="F89" s="92"/>
      <c r="G89" s="12" t="s">
        <v>76</v>
      </c>
      <c r="H89" s="79" t="e">
        <f>I83</f>
        <v>#DIV/0!</v>
      </c>
      <c r="I89" s="361" t="s">
        <v>77</v>
      </c>
      <c r="J89" s="361"/>
      <c r="K89" s="361"/>
    </row>
    <row r="90" spans="1:15" ht="16.2" thickBot="1" x14ac:dyDescent="0.35">
      <c r="A90" s="193"/>
      <c r="B90" s="62" t="s">
        <v>155</v>
      </c>
      <c r="C90" s="61">
        <f>+SUM(C87:C89)</f>
        <v>0</v>
      </c>
      <c r="D90" s="356" t="s">
        <v>82</v>
      </c>
      <c r="E90" s="357"/>
      <c r="F90" s="92"/>
      <c r="G90" s="12" t="s">
        <v>78</v>
      </c>
      <c r="H90" s="79" t="e">
        <f>I80+I79</f>
        <v>#DIV/0!</v>
      </c>
      <c r="I90" s="361" t="s">
        <v>79</v>
      </c>
      <c r="J90" s="361"/>
      <c r="K90" s="361"/>
    </row>
    <row r="91" spans="1:15" ht="9.75" customHeight="1" thickBot="1" x14ac:dyDescent="0.35">
      <c r="B91"/>
      <c r="E91"/>
      <c r="F91" s="92"/>
    </row>
    <row r="92" spans="1:15" x14ac:dyDescent="0.3">
      <c r="A92" s="358" t="s">
        <v>34</v>
      </c>
      <c r="B92" s="359"/>
      <c r="C92" s="360"/>
      <c r="D92" s="347" t="s">
        <v>24</v>
      </c>
      <c r="E92" s="348"/>
      <c r="F92" s="92"/>
      <c r="G92" s="45" t="s">
        <v>139</v>
      </c>
      <c r="H92" s="43"/>
      <c r="I92" s="43"/>
      <c r="J92" s="43"/>
      <c r="K92" s="44"/>
      <c r="L92" s="44"/>
      <c r="M92" s="44"/>
      <c r="N92" s="42"/>
    </row>
    <row r="93" spans="1:15" x14ac:dyDescent="0.3">
      <c r="A93" s="58"/>
      <c r="B93" s="12" t="str">
        <f>+IF($C$15="Cogé","Rendement moteur","Rendement épuratoire")</f>
        <v>Rendement moteur</v>
      </c>
      <c r="C93" s="248"/>
      <c r="D93" s="102" t="s">
        <v>36</v>
      </c>
      <c r="E93" s="259"/>
      <c r="F93" s="92"/>
      <c r="G93" s="17"/>
      <c r="H93" s="36"/>
      <c r="I93" s="36" t="s">
        <v>136</v>
      </c>
      <c r="J93" s="36" t="s">
        <v>135</v>
      </c>
      <c r="K93" s="143" t="s">
        <v>137</v>
      </c>
      <c r="L93" s="16"/>
      <c r="M93" s="16"/>
      <c r="N93" s="16"/>
    </row>
    <row r="94" spans="1:15" x14ac:dyDescent="0.3">
      <c r="A94" s="120"/>
      <c r="B94" s="52" t="str">
        <f>IF(C15="cogé","MWh bruts sortie génératrice (cogé)","")</f>
        <v>MWh bruts sortie génératrice (cogé)</v>
      </c>
      <c r="C94" s="249"/>
      <c r="D94" s="354" t="s">
        <v>23</v>
      </c>
      <c r="E94" s="355"/>
      <c r="F94" s="92"/>
      <c r="G94" s="39" t="str">
        <f>IF(C15="cogé","% conso auxiliaire/vente réseau","% Conso biométhane sur chaudière")</f>
        <v>% conso auxiliaire/vente réseau</v>
      </c>
      <c r="H94" s="55"/>
      <c r="I94" s="96">
        <v>0.02</v>
      </c>
      <c r="J94" s="96" t="e">
        <f>C100/C62</f>
        <v>#DIV/0!</v>
      </c>
      <c r="K94" s="96">
        <v>0.06</v>
      </c>
      <c r="L94" s="171" t="s">
        <v>93</v>
      </c>
      <c r="M94" s="144"/>
      <c r="N94" s="144"/>
      <c r="O94" s="145"/>
    </row>
    <row r="95" spans="1:15" x14ac:dyDescent="0.3">
      <c r="A95" s="192"/>
      <c r="B95" s="98" t="str">
        <f>IF($C$15="cogé","","Conso électricité partie épurateur")</f>
        <v/>
      </c>
      <c r="C95" s="249"/>
      <c r="D95" s="354" t="s">
        <v>23</v>
      </c>
      <c r="E95" s="355"/>
      <c r="F95" s="92"/>
      <c r="G95" s="39" t="s">
        <v>87</v>
      </c>
      <c r="H95" s="55"/>
      <c r="I95" s="96">
        <v>0.06</v>
      </c>
      <c r="J95" s="96" t="e">
        <f>C98/C62</f>
        <v>#DIV/0!</v>
      </c>
      <c r="K95" s="96">
        <v>0.12</v>
      </c>
      <c r="L95" s="171" t="s">
        <v>88</v>
      </c>
      <c r="M95" s="144"/>
      <c r="N95" s="144"/>
      <c r="O95" s="145"/>
    </row>
    <row r="96" spans="1:15" x14ac:dyDescent="0.3">
      <c r="A96" s="192"/>
      <c r="B96" s="98" t="str">
        <f>IF($C$15="cogé","Conso électricité du site","Conso électricité du site hors épurateur")</f>
        <v>Conso électricité du site</v>
      </c>
      <c r="C96" s="249"/>
      <c r="D96" s="354" t="s">
        <v>23</v>
      </c>
      <c r="E96" s="355"/>
      <c r="F96" s="92"/>
      <c r="G96" s="39" t="s">
        <v>176</v>
      </c>
      <c r="H96" s="64"/>
      <c r="I96" s="96">
        <v>0</v>
      </c>
      <c r="J96" s="96" t="e">
        <f>IF(C15="cogé",C103*0.55*9.97*0.4/1000/C62,C103*0.55*10.8/1000/C62)</f>
        <v>#DIV/0!</v>
      </c>
      <c r="K96" s="96">
        <v>0.05</v>
      </c>
      <c r="L96" s="171" t="str">
        <f>IF(C15="cogé","MWH élect torché/MWhélect vendus","MWH biométhane torché/MWhbiométhane vendus")</f>
        <v>MWH élect torché/MWhélect vendus</v>
      </c>
      <c r="M96" s="144"/>
      <c r="N96" s="144"/>
      <c r="O96" s="145"/>
    </row>
    <row r="97" spans="1:15" x14ac:dyDescent="0.3">
      <c r="A97" s="192"/>
      <c r="B97" s="98" t="s">
        <v>147</v>
      </c>
      <c r="C97" s="249"/>
      <c r="D97" s="354" t="s">
        <v>23</v>
      </c>
      <c r="E97" s="355"/>
      <c r="F97" s="92"/>
      <c r="G97" s="39" t="s">
        <v>85</v>
      </c>
      <c r="H97" s="64"/>
      <c r="I97" s="96">
        <v>0.1</v>
      </c>
      <c r="J97" s="96">
        <f>IF(ISBLANK(C96),0,C97/(C98))</f>
        <v>0</v>
      </c>
      <c r="K97" s="96">
        <v>0.3</v>
      </c>
      <c r="L97" s="171" t="s">
        <v>80</v>
      </c>
      <c r="M97" s="144"/>
      <c r="N97" s="144"/>
      <c r="O97" s="145"/>
    </row>
    <row r="98" spans="1:15" x14ac:dyDescent="0.3">
      <c r="A98" s="192"/>
      <c r="B98" s="142" t="str">
        <f>+IF(C15="cogé","Consommation totale en électricité hors auxiliaires","Consommation totale en électricité")</f>
        <v>Consommation totale en électricité hors auxiliaires</v>
      </c>
      <c r="C98" s="227">
        <f>+C96+C95</f>
        <v>0</v>
      </c>
      <c r="D98" s="354" t="s">
        <v>23</v>
      </c>
      <c r="E98" s="355"/>
      <c r="F98" s="92"/>
      <c r="G98" s="39"/>
      <c r="H98" s="64"/>
      <c r="I98" s="96"/>
      <c r="K98" s="54"/>
      <c r="L98" s="54"/>
      <c r="M98" s="144"/>
      <c r="N98" s="144"/>
      <c r="O98" s="145"/>
    </row>
    <row r="99" spans="1:15" x14ac:dyDescent="0.3">
      <c r="A99" s="192"/>
      <c r="B99" s="98" t="str">
        <f>+IF(C15="cogé","Autoconso pour hygiénisation","Achat énergie grise pour hygiénisation")</f>
        <v>Autoconso pour hygiénisation</v>
      </c>
      <c r="C99" s="250"/>
      <c r="D99" s="354" t="s">
        <v>23</v>
      </c>
      <c r="E99" s="355"/>
      <c r="F99" s="92"/>
      <c r="G99" s="6"/>
      <c r="H99" s="6"/>
      <c r="I99" s="6"/>
      <c r="K99" s="6"/>
      <c r="L99" s="6"/>
      <c r="M99" s="6"/>
      <c r="N99" s="6"/>
    </row>
    <row r="100" spans="1:15" x14ac:dyDescent="0.3">
      <c r="A100" s="192"/>
      <c r="B100" s="98" t="str">
        <f>IF($C$15="cogé","Cogé autoconso auxilliaires élec relevée","Autoconsommation biométhane pour chauffage")</f>
        <v>Cogé autoconso auxilliaires élec relevée</v>
      </c>
      <c r="C100" s="250"/>
      <c r="D100" s="354" t="s">
        <v>23</v>
      </c>
      <c r="E100" s="355"/>
      <c r="F100" s="92"/>
      <c r="G100" s="6"/>
      <c r="I100" s="6"/>
      <c r="K100" s="6"/>
      <c r="L100" s="6"/>
      <c r="M100" s="6"/>
      <c r="N100" s="6"/>
    </row>
    <row r="101" spans="1:15" x14ac:dyDescent="0.3">
      <c r="A101" s="192"/>
      <c r="B101" s="98" t="str">
        <f>IF(C15="cogé","","Temps fonctionnement chaudière")</f>
        <v/>
      </c>
      <c r="C101" s="251"/>
      <c r="D101" s="354" t="s">
        <v>50</v>
      </c>
      <c r="E101" s="355"/>
      <c r="F101" s="92"/>
      <c r="G101" s="6"/>
      <c r="H101" s="6"/>
      <c r="I101" s="6"/>
      <c r="K101" s="6"/>
      <c r="L101" s="6"/>
      <c r="M101" s="6"/>
      <c r="N101" s="6"/>
    </row>
    <row r="102" spans="1:15" x14ac:dyDescent="0.3">
      <c r="A102" s="192"/>
      <c r="B102" s="97" t="s">
        <v>91</v>
      </c>
      <c r="C102" s="251"/>
      <c r="D102" s="354" t="s">
        <v>50</v>
      </c>
      <c r="E102" s="355"/>
      <c r="F102" s="92"/>
      <c r="G102" s="6"/>
      <c r="H102" s="6"/>
      <c r="I102" s="6"/>
      <c r="K102" s="6"/>
      <c r="L102" s="6"/>
      <c r="M102" s="6"/>
      <c r="N102" s="6"/>
    </row>
    <row r="103" spans="1:15" ht="16.2" thickBot="1" x14ac:dyDescent="0.35">
      <c r="A103" s="193"/>
      <c r="B103" s="99" t="s">
        <v>92</v>
      </c>
      <c r="C103" s="252"/>
      <c r="D103" s="356" t="s">
        <v>90</v>
      </c>
      <c r="E103" s="357"/>
      <c r="F103" s="92"/>
    </row>
    <row r="104" spans="1:15" ht="8.25" customHeight="1" thickBot="1" x14ac:dyDescent="0.35">
      <c r="A104" s="6"/>
      <c r="B104" s="6"/>
      <c r="C104" s="24"/>
      <c r="D104" s="24"/>
      <c r="E104" s="24"/>
      <c r="F104" s="92"/>
      <c r="G104" s="7"/>
      <c r="H104" s="7"/>
      <c r="I104" s="7"/>
      <c r="J104" s="7"/>
    </row>
    <row r="105" spans="1:15" ht="15.75" customHeight="1" x14ac:dyDescent="0.3">
      <c r="A105" s="345" t="s">
        <v>37</v>
      </c>
      <c r="B105" s="346"/>
      <c r="C105" s="346"/>
      <c r="D105" s="347" t="s">
        <v>36</v>
      </c>
      <c r="E105" s="348"/>
      <c r="F105" s="92"/>
      <c r="G105" s="45" t="s">
        <v>44</v>
      </c>
      <c r="H105" s="43"/>
      <c r="I105" s="43"/>
      <c r="J105" s="43"/>
      <c r="K105" s="44"/>
      <c r="L105" s="44"/>
      <c r="M105" s="44"/>
      <c r="N105" s="42"/>
    </row>
    <row r="106" spans="1:15" ht="16.5" customHeight="1" thickBot="1" x14ac:dyDescent="0.35">
      <c r="A106" s="349" t="s">
        <v>18</v>
      </c>
      <c r="B106" s="146" t="s">
        <v>4</v>
      </c>
      <c r="C106" s="240"/>
      <c r="D106" s="332" t="e">
        <f t="shared" ref="D106:D131" si="3">C106/$C$131</f>
        <v>#DIV/0!</v>
      </c>
      <c r="E106" s="333"/>
      <c r="F106" s="92"/>
    </row>
    <row r="107" spans="1:15" ht="27" customHeight="1" x14ac:dyDescent="0.3">
      <c r="A107" s="350"/>
      <c r="B107" s="146" t="s">
        <v>124</v>
      </c>
      <c r="C107" s="240"/>
      <c r="D107" s="332" t="e">
        <f t="shared" si="3"/>
        <v>#DIV/0!</v>
      </c>
      <c r="E107" s="333"/>
      <c r="F107" s="92"/>
      <c r="G107" s="184"/>
      <c r="H107" s="226" t="s">
        <v>36</v>
      </c>
      <c r="I107" s="228" t="s">
        <v>40</v>
      </c>
      <c r="J107" s="229" t="s">
        <v>41</v>
      </c>
      <c r="K107" s="25"/>
    </row>
    <row r="108" spans="1:15" ht="27" customHeight="1" x14ac:dyDescent="0.3">
      <c r="A108" s="351"/>
      <c r="B108" s="183" t="s">
        <v>187</v>
      </c>
      <c r="C108" s="253"/>
      <c r="D108" s="332" t="e">
        <f t="shared" si="3"/>
        <v>#DIV/0!</v>
      </c>
      <c r="E108" s="333"/>
      <c r="F108" s="92"/>
      <c r="G108" s="280" t="s">
        <v>18</v>
      </c>
      <c r="H108" s="275" t="e">
        <f>+(C106+C107+C108)/$C$131</f>
        <v>#DIV/0!</v>
      </c>
      <c r="I108" s="276" t="e">
        <f>+(C106+C107+C108)/$C$62</f>
        <v>#DIV/0!</v>
      </c>
      <c r="J108" s="277" t="e">
        <f>+(C106+C107+C108)/$C$86</f>
        <v>#DIV/0!</v>
      </c>
      <c r="K108" s="25"/>
    </row>
    <row r="109" spans="1:15" ht="21" customHeight="1" x14ac:dyDescent="0.3">
      <c r="A109" s="352" t="s">
        <v>19</v>
      </c>
      <c r="B109" s="115" t="s">
        <v>125</v>
      </c>
      <c r="C109" s="240"/>
      <c r="D109" s="332" t="e">
        <f t="shared" si="3"/>
        <v>#DIV/0!</v>
      </c>
      <c r="E109" s="333"/>
      <c r="F109" s="92"/>
      <c r="G109" s="280" t="s">
        <v>19</v>
      </c>
      <c r="H109" s="275" t="e">
        <f>+(C109+C110)/$C$131</f>
        <v>#DIV/0!</v>
      </c>
      <c r="I109" s="276" t="e">
        <f>+(C109+C110)/$C$62</f>
        <v>#DIV/0!</v>
      </c>
      <c r="J109" s="277" t="e">
        <f>+(C109+C110)/$C$86</f>
        <v>#DIV/0!</v>
      </c>
    </row>
    <row r="110" spans="1:15" ht="21" customHeight="1" x14ac:dyDescent="0.3">
      <c r="A110" s="353"/>
      <c r="B110" s="115" t="s">
        <v>188</v>
      </c>
      <c r="C110" s="253"/>
      <c r="D110" s="332" t="e">
        <f t="shared" si="3"/>
        <v>#DIV/0!</v>
      </c>
      <c r="E110" s="333"/>
      <c r="F110" s="92"/>
      <c r="G110" s="280" t="s">
        <v>20</v>
      </c>
      <c r="H110" s="275" t="e">
        <f>SUM(C111:C123)/$C$131</f>
        <v>#DIV/0!</v>
      </c>
      <c r="I110" s="276" t="e">
        <f>SUM(C111:C123)/$C$62</f>
        <v>#DIV/0!</v>
      </c>
      <c r="J110" s="277" t="e">
        <f>SUM(C111:C123)/$C$86</f>
        <v>#DIV/0!</v>
      </c>
    </row>
    <row r="111" spans="1:15" ht="21" customHeight="1" x14ac:dyDescent="0.3">
      <c r="A111" s="339" t="s">
        <v>38</v>
      </c>
      <c r="B111" s="115" t="s">
        <v>126</v>
      </c>
      <c r="C111" s="253"/>
      <c r="D111" s="332" t="e">
        <f t="shared" si="3"/>
        <v>#DIV/0!</v>
      </c>
      <c r="E111" s="333"/>
      <c r="F111" s="92"/>
      <c r="G111" s="274" t="s">
        <v>174</v>
      </c>
      <c r="H111" s="343"/>
      <c r="I111" s="290" t="e">
        <f>C120/$C$62</f>
        <v>#DIV/0!</v>
      </c>
      <c r="J111" s="278" t="e">
        <f>+C120/C86</f>
        <v>#DIV/0!</v>
      </c>
    </row>
    <row r="112" spans="1:15" ht="27" customHeight="1" x14ac:dyDescent="0.3">
      <c r="A112" s="340"/>
      <c r="B112" s="115" t="s">
        <v>201</v>
      </c>
      <c r="C112" s="253"/>
      <c r="D112" s="332" t="e">
        <f t="shared" si="3"/>
        <v>#DIV/0!</v>
      </c>
      <c r="E112" s="333"/>
      <c r="F112" s="92"/>
      <c r="G112" s="274" t="s">
        <v>175</v>
      </c>
      <c r="H112" s="344"/>
      <c r="I112" s="290" t="e">
        <f>SUM(C111:C114)/$C$62</f>
        <v>#DIV/0!</v>
      </c>
      <c r="J112" s="278" t="e">
        <f>+SUM(C111:C114)/C86</f>
        <v>#DIV/0!</v>
      </c>
    </row>
    <row r="113" spans="1:30" ht="21" customHeight="1" x14ac:dyDescent="0.3">
      <c r="A113" s="341"/>
      <c r="B113" s="115" t="str">
        <f>IF(C15="cogé","Maintenance/entretien cogénération","Maintenance/entretien épurateur")</f>
        <v>Maintenance/entretien cogénération</v>
      </c>
      <c r="C113" s="253"/>
      <c r="D113" s="332" t="e">
        <f t="shared" si="3"/>
        <v>#DIV/0!</v>
      </c>
      <c r="E113" s="333"/>
      <c r="F113" s="92"/>
      <c r="G113" s="281" t="s">
        <v>42</v>
      </c>
      <c r="H113" s="275" t="e">
        <f>+(C124+C126+C125)/$C$131</f>
        <v>#DIV/0!</v>
      </c>
      <c r="I113" s="276" t="e">
        <f>+(C125+C124+C126)/$C$62</f>
        <v>#DIV/0!</v>
      </c>
      <c r="J113" s="277" t="e">
        <f>+(C125+C124+C126)/$C$86</f>
        <v>#DIV/0!</v>
      </c>
    </row>
    <row r="114" spans="1:30" ht="27" customHeight="1" x14ac:dyDescent="0.3">
      <c r="A114" s="341"/>
      <c r="B114" s="115" t="str">
        <f>IF(C15="cogé","Maintenance/entretien cogénération (charge amortissable)","Maintenance/entretien épurateur (charge amortissable)")</f>
        <v>Maintenance/entretien cogénération (charge amortissable)</v>
      </c>
      <c r="C114" s="253"/>
      <c r="D114" s="332" t="e">
        <f t="shared" si="3"/>
        <v>#DIV/0!</v>
      </c>
      <c r="E114" s="333"/>
      <c r="F114" s="92"/>
      <c r="G114" s="280" t="s">
        <v>21</v>
      </c>
      <c r="H114" s="275" t="e">
        <f>+(C127+C128)/$C$131</f>
        <v>#DIV/0!</v>
      </c>
      <c r="I114" s="276" t="e">
        <f>+(C127+C128)/$C$62</f>
        <v>#DIV/0!</v>
      </c>
      <c r="J114" s="277" t="e">
        <f>+(C127+C128)/$C$86</f>
        <v>#DIV/0!</v>
      </c>
    </row>
    <row r="115" spans="1:30" ht="31.2" x14ac:dyDescent="0.3">
      <c r="A115" s="341"/>
      <c r="B115" s="284" t="s">
        <v>221</v>
      </c>
      <c r="C115" s="253"/>
      <c r="D115" s="332" t="e">
        <f t="shared" si="3"/>
        <v>#DIV/0!</v>
      </c>
      <c r="E115" s="333"/>
      <c r="F115" s="92"/>
      <c r="G115" s="282" t="s">
        <v>86</v>
      </c>
      <c r="H115" s="275" t="e">
        <f>+(C129+C130)/$C$131</f>
        <v>#DIV/0!</v>
      </c>
      <c r="I115" s="276" t="e">
        <f>+(C129+C130)/$C$62</f>
        <v>#DIV/0!</v>
      </c>
      <c r="J115" s="277" t="e">
        <f>+(C129+C130)/$C$86</f>
        <v>#DIV/0!</v>
      </c>
      <c r="K115" s="22"/>
    </row>
    <row r="116" spans="1:30" ht="45.6" thickBot="1" x14ac:dyDescent="0.35">
      <c r="A116" s="341"/>
      <c r="B116" s="284" t="s">
        <v>222</v>
      </c>
      <c r="C116" s="253"/>
      <c r="D116" s="332" t="e">
        <f t="shared" si="3"/>
        <v>#DIV/0!</v>
      </c>
      <c r="E116" s="333"/>
      <c r="F116" s="92"/>
      <c r="G116" s="283" t="s">
        <v>43</v>
      </c>
      <c r="H116" s="279" t="e">
        <f>SUM(H108:H110,H113:H115)</f>
        <v>#DIV/0!</v>
      </c>
      <c r="I116" s="291" t="e">
        <f>SUM(I108:I110,I113:I115)</f>
        <v>#DIV/0!</v>
      </c>
      <c r="J116" s="292" t="e">
        <f>SUM(J108:J110,J113:J115)</f>
        <v>#DIV/0!</v>
      </c>
      <c r="K116" s="22"/>
    </row>
    <row r="117" spans="1:30" ht="21" customHeight="1" x14ac:dyDescent="0.3">
      <c r="A117" s="341"/>
      <c r="B117" s="115" t="s">
        <v>189</v>
      </c>
      <c r="C117" s="253"/>
      <c r="D117" s="332" t="e">
        <f t="shared" si="3"/>
        <v>#DIV/0!</v>
      </c>
      <c r="E117" s="333"/>
      <c r="F117" s="92"/>
      <c r="K117" s="23"/>
    </row>
    <row r="118" spans="1:30" ht="27" customHeight="1" x14ac:dyDescent="0.3">
      <c r="A118" s="341"/>
      <c r="B118" s="115" t="s">
        <v>190</v>
      </c>
      <c r="C118" s="253"/>
      <c r="D118" s="332" t="e">
        <f t="shared" si="3"/>
        <v>#DIV/0!</v>
      </c>
      <c r="E118" s="333"/>
      <c r="F118" s="92"/>
    </row>
    <row r="119" spans="1:30" ht="27" customHeight="1" thickBot="1" x14ac:dyDescent="0.35">
      <c r="A119" s="341"/>
      <c r="B119" s="115" t="s">
        <v>141</v>
      </c>
      <c r="C119" s="253"/>
      <c r="D119" s="332" t="e">
        <f t="shared" si="3"/>
        <v>#DIV/0!</v>
      </c>
      <c r="E119" s="333"/>
      <c r="F119" s="92"/>
      <c r="L119" s="30"/>
      <c r="N119" s="10"/>
    </row>
    <row r="120" spans="1:30" ht="21" customHeight="1" x14ac:dyDescent="0.3">
      <c r="A120" s="341"/>
      <c r="B120" s="115" t="s">
        <v>96</v>
      </c>
      <c r="C120" s="253"/>
      <c r="D120" s="332" t="e">
        <f t="shared" si="3"/>
        <v>#DIV/0!</v>
      </c>
      <c r="E120" s="333"/>
      <c r="F120" s="92"/>
      <c r="G120" s="149"/>
      <c r="H120" s="150" t="s">
        <v>128</v>
      </c>
      <c r="I120" s="151" t="s">
        <v>260</v>
      </c>
      <c r="J120" s="151" t="s">
        <v>146</v>
      </c>
      <c r="K120" s="152" t="s">
        <v>285</v>
      </c>
      <c r="L120" s="153" t="s">
        <v>84</v>
      </c>
    </row>
    <row r="121" spans="1:30" ht="27" customHeight="1" x14ac:dyDescent="0.3">
      <c r="A121" s="341"/>
      <c r="B121" s="115" t="s">
        <v>127</v>
      </c>
      <c r="C121" s="253"/>
      <c r="D121" s="332" t="e">
        <f t="shared" si="3"/>
        <v>#DIV/0!</v>
      </c>
      <c r="E121" s="333"/>
      <c r="F121" s="92"/>
      <c r="G121" s="154" t="str">
        <f>G108</f>
        <v>APPRO</v>
      </c>
      <c r="H121" s="155" t="e">
        <f>I108</f>
        <v>#DIV/0!</v>
      </c>
      <c r="I121" s="167">
        <f t="shared" ref="I121:I126" si="4">+IF($C$15="Cogé",AD126,AC126)</f>
        <v>68.161279894563918</v>
      </c>
      <c r="J121" s="157"/>
      <c r="K121" s="139"/>
      <c r="L121" s="158"/>
    </row>
    <row r="122" spans="1:30" ht="21" customHeight="1" x14ac:dyDescent="0.3">
      <c r="A122" s="341"/>
      <c r="B122" s="115" t="s">
        <v>142</v>
      </c>
      <c r="C122" s="253"/>
      <c r="D122" s="332" t="e">
        <f t="shared" si="3"/>
        <v>#DIV/0!</v>
      </c>
      <c r="E122" s="333"/>
      <c r="F122" s="92"/>
      <c r="G122" s="154" t="str">
        <f>G109</f>
        <v>DIGESTAT</v>
      </c>
      <c r="H122" s="155" t="e">
        <f>I109</f>
        <v>#DIV/0!</v>
      </c>
      <c r="I122" s="167">
        <f t="shared" si="4"/>
        <v>14.641098695151385</v>
      </c>
      <c r="J122" s="157"/>
      <c r="K122" s="139"/>
      <c r="L122" s="158"/>
    </row>
    <row r="123" spans="1:30" ht="21" customHeight="1" x14ac:dyDescent="0.3">
      <c r="A123" s="342"/>
      <c r="B123" s="115" t="s">
        <v>191</v>
      </c>
      <c r="C123" s="253"/>
      <c r="D123" s="332" t="e">
        <f t="shared" si="3"/>
        <v>#DIV/0!</v>
      </c>
      <c r="E123" s="333"/>
      <c r="F123" s="92"/>
      <c r="G123" s="154" t="str">
        <f>G110</f>
        <v>EXPLOITATION</v>
      </c>
      <c r="H123" s="155" t="e">
        <f>I110</f>
        <v>#DIV/0!</v>
      </c>
      <c r="I123" s="167">
        <f t="shared" si="4"/>
        <v>65.433883716714618</v>
      </c>
      <c r="J123" s="157"/>
      <c r="K123" s="139"/>
      <c r="L123" s="158"/>
    </row>
    <row r="124" spans="1:30" ht="21" customHeight="1" x14ac:dyDescent="0.3">
      <c r="A124" s="336" t="s">
        <v>39</v>
      </c>
      <c r="B124" s="115" t="s">
        <v>5</v>
      </c>
      <c r="C124" s="253"/>
      <c r="D124" s="332" t="e">
        <f t="shared" si="3"/>
        <v>#DIV/0!</v>
      </c>
      <c r="E124" s="333"/>
      <c r="F124" s="92"/>
      <c r="G124" s="154" t="str">
        <f>G113</f>
        <v>AUTRES</v>
      </c>
      <c r="H124" s="155" t="e">
        <f>I113</f>
        <v>#DIV/0!</v>
      </c>
      <c r="I124" s="167">
        <f t="shared" si="4"/>
        <v>10.772352824879945</v>
      </c>
      <c r="J124" s="157"/>
      <c r="K124" s="139"/>
      <c r="L124" s="158"/>
    </row>
    <row r="125" spans="1:30" ht="21" customHeight="1" x14ac:dyDescent="0.3">
      <c r="A125" s="337"/>
      <c r="B125" s="115" t="s">
        <v>6</v>
      </c>
      <c r="C125" s="253"/>
      <c r="D125" s="332" t="e">
        <f t="shared" si="3"/>
        <v>#DIV/0!</v>
      </c>
      <c r="E125" s="333"/>
      <c r="F125" s="92"/>
      <c r="G125" s="154" t="str">
        <f>G114</f>
        <v>TRAVAIL</v>
      </c>
      <c r="H125" s="155" t="e">
        <f>I114</f>
        <v>#DIV/0!</v>
      </c>
      <c r="I125" s="167">
        <f t="shared" si="4"/>
        <v>16.411797270432913</v>
      </c>
      <c r="J125" s="157"/>
      <c r="K125" s="139"/>
      <c r="L125" s="158"/>
      <c r="Z125" s="168" t="s">
        <v>129</v>
      </c>
      <c r="AA125" s="168" t="s">
        <v>133</v>
      </c>
      <c r="AB125" s="168" t="s">
        <v>95</v>
      </c>
      <c r="AC125" s="296" t="s">
        <v>284</v>
      </c>
      <c r="AD125" s="296" t="s">
        <v>283</v>
      </c>
    </row>
    <row r="126" spans="1:30" ht="21" customHeight="1" x14ac:dyDescent="0.4">
      <c r="A126" s="337"/>
      <c r="B126" s="254" t="s">
        <v>179</v>
      </c>
      <c r="C126" s="253"/>
      <c r="D126" s="332" t="e">
        <f t="shared" si="3"/>
        <v>#DIV/0!</v>
      </c>
      <c r="E126" s="333"/>
      <c r="F126" s="114"/>
      <c r="G126" s="154" t="str">
        <f>G115</f>
        <v>INVEST</v>
      </c>
      <c r="H126" s="155" t="e">
        <f>I115</f>
        <v>#DIV/0!</v>
      </c>
      <c r="I126" s="167">
        <f t="shared" si="4"/>
        <v>70.087181862015711</v>
      </c>
      <c r="J126" s="157"/>
      <c r="K126" s="139"/>
      <c r="L126" s="158"/>
      <c r="Z126" s="169" t="s">
        <v>105</v>
      </c>
      <c r="AA126" s="170">
        <v>23.717309818123461</v>
      </c>
      <c r="AB126" s="170">
        <v>45.654648841549864</v>
      </c>
      <c r="AC126" s="170">
        <v>34.573377197383913</v>
      </c>
      <c r="AD126" s="170">
        <v>68.161279894563918</v>
      </c>
    </row>
    <row r="127" spans="1:30" ht="27" customHeight="1" x14ac:dyDescent="0.4">
      <c r="A127" s="330" t="s">
        <v>21</v>
      </c>
      <c r="B127" s="116" t="s">
        <v>192</v>
      </c>
      <c r="C127" s="253"/>
      <c r="D127" s="332" t="e">
        <f t="shared" si="3"/>
        <v>#DIV/0!</v>
      </c>
      <c r="E127" s="333"/>
      <c r="F127" s="114"/>
      <c r="G127" s="154" t="str">
        <f>IF(C15="Cogé","Produit cogé","Produit CH4")</f>
        <v>Produit cogé</v>
      </c>
      <c r="H127" s="159"/>
      <c r="I127" s="156"/>
      <c r="J127" s="155">
        <f>C63</f>
        <v>0</v>
      </c>
      <c r="K127" s="139">
        <f>+IF($C$15="Cogé",AD133,AC133)</f>
        <v>223.4539850282946</v>
      </c>
      <c r="L127" s="158"/>
      <c r="Z127" s="169" t="s">
        <v>130</v>
      </c>
      <c r="AA127" s="170">
        <v>4.5056720361055396</v>
      </c>
      <c r="AB127" s="170">
        <v>11.266998250962201</v>
      </c>
      <c r="AC127" s="170">
        <v>5.6386940576873172</v>
      </c>
      <c r="AD127" s="170">
        <v>14.641098695151385</v>
      </c>
    </row>
    <row r="128" spans="1:30" ht="21" customHeight="1" x14ac:dyDescent="0.4">
      <c r="A128" s="338"/>
      <c r="B128" s="115" t="s">
        <v>14</v>
      </c>
      <c r="C128" s="253"/>
      <c r="D128" s="332" t="e">
        <f t="shared" si="3"/>
        <v>#DIV/0!</v>
      </c>
      <c r="E128" s="333"/>
      <c r="F128" s="94"/>
      <c r="G128" s="154" t="str">
        <f>IF(C15="Cogé","Produit annexe","Produit annexe")</f>
        <v>Produit annexe</v>
      </c>
      <c r="H128" s="160"/>
      <c r="I128" s="156"/>
      <c r="J128" s="161" t="e">
        <f>+J74-J127</f>
        <v>#DIV/0!</v>
      </c>
      <c r="K128" s="139">
        <f>+IF($C$15="Cogé",AD134,AC134)</f>
        <v>26.411510628931779</v>
      </c>
      <c r="L128" s="162"/>
      <c r="Z128" s="169" t="s">
        <v>131</v>
      </c>
      <c r="AA128" s="170">
        <v>25.695073476028629</v>
      </c>
      <c r="AB128" s="170">
        <v>43.909664682523172</v>
      </c>
      <c r="AC128" s="170">
        <v>34.993407120514377</v>
      </c>
      <c r="AD128" s="170">
        <v>65.433883716714618</v>
      </c>
    </row>
    <row r="129" spans="1:31" ht="31.8" thickBot="1" x14ac:dyDescent="0.45">
      <c r="A129" s="330" t="s">
        <v>86</v>
      </c>
      <c r="B129" s="115" t="s">
        <v>227</v>
      </c>
      <c r="C129" s="253"/>
      <c r="D129" s="332" t="e">
        <f t="shared" si="3"/>
        <v>#DIV/0!</v>
      </c>
      <c r="E129" s="333"/>
      <c r="F129" s="92"/>
      <c r="G129" s="148" t="s">
        <v>84</v>
      </c>
      <c r="H129" s="163"/>
      <c r="I129" s="164"/>
      <c r="J129" s="165"/>
      <c r="K129" s="163"/>
      <c r="L129" s="166" t="e">
        <f>C133/C62</f>
        <v>#DIV/0!</v>
      </c>
      <c r="Z129" s="169" t="s">
        <v>106</v>
      </c>
      <c r="AA129" s="170">
        <v>5.3217918247903313</v>
      </c>
      <c r="AB129" s="170">
        <v>13.188557543233596</v>
      </c>
      <c r="AC129" s="170">
        <v>5.6565528860243131</v>
      </c>
      <c r="AD129" s="170">
        <v>10.772352824879945</v>
      </c>
    </row>
    <row r="130" spans="1:31" ht="21" customHeight="1" x14ac:dyDescent="0.4">
      <c r="A130" s="331"/>
      <c r="B130" s="115" t="s">
        <v>17</v>
      </c>
      <c r="C130" s="253"/>
      <c r="D130" s="332" t="e">
        <f t="shared" si="3"/>
        <v>#DIV/0!</v>
      </c>
      <c r="E130" s="333"/>
      <c r="F130" s="93"/>
      <c r="G130" s="147"/>
      <c r="H130" s="147"/>
      <c r="I130" s="147"/>
      <c r="O130" s="5"/>
      <c r="Z130" s="169" t="s">
        <v>132</v>
      </c>
      <c r="AA130" s="170">
        <v>7.0073289354663011</v>
      </c>
      <c r="AB130" s="170">
        <v>14.376544347146764</v>
      </c>
      <c r="AC130" s="170">
        <v>8.3011605305550962</v>
      </c>
      <c r="AD130" s="170">
        <v>16.411797270432913</v>
      </c>
    </row>
    <row r="131" spans="1:31" ht="21.6" thickBot="1" x14ac:dyDescent="0.45">
      <c r="A131" s="185"/>
      <c r="B131" s="56" t="s">
        <v>7</v>
      </c>
      <c r="C131" s="121">
        <f>SUM(C106:C130)</f>
        <v>0</v>
      </c>
      <c r="D131" s="334" t="e">
        <f t="shared" si="3"/>
        <v>#DIV/0!</v>
      </c>
      <c r="E131" s="335"/>
      <c r="F131" s="93"/>
      <c r="G131" s="147"/>
      <c r="H131" s="147"/>
      <c r="I131" s="147"/>
      <c r="Z131" s="169" t="s">
        <v>107</v>
      </c>
      <c r="AA131" s="170">
        <v>37.529153486284137</v>
      </c>
      <c r="AB131" s="170">
        <v>78.948553978941248</v>
      </c>
      <c r="AC131" s="170">
        <v>41.563749504792014</v>
      </c>
      <c r="AD131" s="170">
        <v>70.087181862015711</v>
      </c>
    </row>
    <row r="132" spans="1:31" s="5" customFormat="1" ht="12" customHeight="1" thickBot="1" x14ac:dyDescent="0.35">
      <c r="A132" s="32"/>
      <c r="B132" s="32"/>
      <c r="C132" s="32"/>
      <c r="D132" s="32"/>
      <c r="E132" s="32"/>
      <c r="F132" s="93"/>
      <c r="G132" s="147"/>
      <c r="H132" s="147"/>
      <c r="I132" s="147"/>
      <c r="J132" s="26"/>
      <c r="K132" s="7"/>
      <c r="L132" s="7"/>
      <c r="M132" s="7"/>
      <c r="N132" s="7"/>
      <c r="O132"/>
      <c r="Z132"/>
      <c r="AA132"/>
      <c r="AB132"/>
      <c r="AC132"/>
      <c r="AD132"/>
      <c r="AE132"/>
    </row>
    <row r="133" spans="1:31" ht="21.75" customHeight="1" thickBot="1" x14ac:dyDescent="0.45">
      <c r="A133" s="117" t="s">
        <v>8</v>
      </c>
      <c r="B133" s="113"/>
      <c r="C133" s="172">
        <f>C75-C131</f>
        <v>0</v>
      </c>
      <c r="D133" s="172"/>
      <c r="E133" s="173"/>
      <c r="F133" s="92"/>
      <c r="G133" s="147"/>
      <c r="H133" s="147"/>
      <c r="I133" s="147"/>
      <c r="Z133" s="169" t="s">
        <v>144</v>
      </c>
      <c r="AA133" s="186">
        <v>139</v>
      </c>
      <c r="AB133" s="186">
        <v>208</v>
      </c>
      <c r="AC133" s="186">
        <v>134.91</v>
      </c>
      <c r="AD133" s="186">
        <v>223.4539850282946</v>
      </c>
      <c r="AE133" s="5"/>
    </row>
    <row r="134" spans="1:31" ht="14.25" customHeight="1" thickBot="1" x14ac:dyDescent="0.45">
      <c r="B134" s="18"/>
      <c r="C134" s="19"/>
      <c r="D134" s="19"/>
      <c r="E134" s="33"/>
      <c r="F134" s="90"/>
      <c r="G134" s="147"/>
      <c r="H134" s="147"/>
      <c r="I134" s="147"/>
      <c r="J134" s="7"/>
      <c r="Z134" s="169" t="s">
        <v>145</v>
      </c>
      <c r="AA134" s="186">
        <v>3.4</v>
      </c>
      <c r="AB134" s="186">
        <v>27</v>
      </c>
      <c r="AC134" s="298">
        <f>140.45-AC133</f>
        <v>5.539999999999992</v>
      </c>
      <c r="AD134" s="186">
        <v>26.411510628931779</v>
      </c>
    </row>
    <row r="135" spans="1:31" ht="18" x14ac:dyDescent="0.35">
      <c r="A135" s="174" t="s">
        <v>138</v>
      </c>
      <c r="B135" s="175"/>
      <c r="C135" s="176"/>
      <c r="D135" s="176"/>
      <c r="E135" s="177"/>
      <c r="F135" s="178"/>
      <c r="G135" s="179"/>
      <c r="H135" s="179"/>
      <c r="I135" s="179"/>
      <c r="J135" s="137"/>
      <c r="K135" s="180"/>
      <c r="L135" s="181"/>
      <c r="M135" s="181"/>
      <c r="N135" s="182"/>
      <c r="O135" s="20"/>
    </row>
    <row r="136" spans="1:31" s="20" customFormat="1" x14ac:dyDescent="0.3">
      <c r="A136" s="401"/>
      <c r="B136" s="402"/>
      <c r="C136" s="402"/>
      <c r="D136" s="402"/>
      <c r="E136" s="402"/>
      <c r="F136" s="402"/>
      <c r="G136" s="402"/>
      <c r="H136" s="402"/>
      <c r="I136" s="402"/>
      <c r="J136" s="402"/>
      <c r="K136" s="402"/>
      <c r="L136" s="402"/>
      <c r="M136" s="402"/>
      <c r="N136" s="403"/>
      <c r="O136"/>
      <c r="W136"/>
      <c r="X136"/>
      <c r="Y136"/>
      <c r="Z136"/>
      <c r="AA136"/>
      <c r="AB136"/>
      <c r="AC136"/>
      <c r="AD136"/>
      <c r="AE136"/>
    </row>
    <row r="137" spans="1:31" x14ac:dyDescent="0.3">
      <c r="A137" s="401"/>
      <c r="B137" s="402"/>
      <c r="C137" s="402"/>
      <c r="D137" s="402"/>
      <c r="E137" s="402"/>
      <c r="F137" s="402"/>
      <c r="G137" s="402"/>
      <c r="H137" s="402"/>
      <c r="I137" s="402"/>
      <c r="J137" s="402"/>
      <c r="K137" s="402"/>
      <c r="L137" s="402"/>
      <c r="M137" s="402"/>
      <c r="N137" s="403"/>
      <c r="AC137" s="20"/>
      <c r="AD137" s="20"/>
      <c r="AE137" s="20"/>
    </row>
    <row r="138" spans="1:31" x14ac:dyDescent="0.3">
      <c r="A138" s="401"/>
      <c r="B138" s="402"/>
      <c r="C138" s="402"/>
      <c r="D138" s="402"/>
      <c r="E138" s="402"/>
      <c r="F138" s="402"/>
      <c r="G138" s="402"/>
      <c r="H138" s="402"/>
      <c r="I138" s="402"/>
      <c r="J138" s="402"/>
      <c r="K138" s="402"/>
      <c r="L138" s="402"/>
      <c r="M138" s="402"/>
      <c r="N138" s="403"/>
    </row>
    <row r="139" spans="1:31" ht="16.2" thickBot="1" x14ac:dyDescent="0.35">
      <c r="A139" s="404"/>
      <c r="B139" s="405"/>
      <c r="C139" s="405"/>
      <c r="D139" s="405"/>
      <c r="E139" s="405"/>
      <c r="F139" s="405"/>
      <c r="G139" s="405"/>
      <c r="H139" s="405"/>
      <c r="I139" s="405"/>
      <c r="J139" s="405"/>
      <c r="K139" s="405"/>
      <c r="L139" s="405"/>
      <c r="M139" s="405"/>
      <c r="N139" s="406"/>
    </row>
    <row r="140" spans="1:31" x14ac:dyDescent="0.3">
      <c r="J140" s="7"/>
      <c r="N140"/>
    </row>
  </sheetData>
  <sheetProtection algorithmName="SHA-512" hashValue="QCRXxZ9dtWTcfbJEsTetqEoJAZueSpJZjJAL2vi1BCEMYM/OIPwqIFEWOmOPFJx2Bw/yG5GeQeLWxZxCZgjxpg==" saltValue="8gmgaxTGOI50X2aE9/eSpw==" spinCount="100000" sheet="1" objects="1" scenarios="1"/>
  <mergeCells count="150">
    <mergeCell ref="A136:N139"/>
    <mergeCell ref="D18:E18"/>
    <mergeCell ref="D19:E19"/>
    <mergeCell ref="D20:E20"/>
    <mergeCell ref="D21:E21"/>
    <mergeCell ref="D23:E23"/>
    <mergeCell ref="A1:N1"/>
    <mergeCell ref="A3:N3"/>
    <mergeCell ref="A10:B10"/>
    <mergeCell ref="G10:N10"/>
    <mergeCell ref="A13:C13"/>
    <mergeCell ref="D13:E13"/>
    <mergeCell ref="G13:N30"/>
    <mergeCell ref="C14:E14"/>
    <mergeCell ref="D15:E15"/>
    <mergeCell ref="D16:E16"/>
    <mergeCell ref="D30:E30"/>
    <mergeCell ref="G5:N5"/>
    <mergeCell ref="G6:N8"/>
    <mergeCell ref="C17:E17"/>
    <mergeCell ref="A32:B32"/>
    <mergeCell ref="D32:E32"/>
    <mergeCell ref="F32:F45"/>
    <mergeCell ref="D33:E33"/>
    <mergeCell ref="D51:E51"/>
    <mergeCell ref="D52:E52"/>
    <mergeCell ref="G34:I34"/>
    <mergeCell ref="D35:E35"/>
    <mergeCell ref="D36:E36"/>
    <mergeCell ref="D37:E37"/>
    <mergeCell ref="D38:E38"/>
    <mergeCell ref="D39:E39"/>
    <mergeCell ref="D50:E50"/>
    <mergeCell ref="D47:E47"/>
    <mergeCell ref="D34:E34"/>
    <mergeCell ref="D40:E40"/>
    <mergeCell ref="D41:E41"/>
    <mergeCell ref="D42:E42"/>
    <mergeCell ref="D43:E43"/>
    <mergeCell ref="D44:E44"/>
    <mergeCell ref="G44:H44"/>
    <mergeCell ref="D48:E48"/>
    <mergeCell ref="D49:E49"/>
    <mergeCell ref="L57:N57"/>
    <mergeCell ref="D58:E58"/>
    <mergeCell ref="H58:I58"/>
    <mergeCell ref="J58:K58"/>
    <mergeCell ref="L58:N58"/>
    <mergeCell ref="D54:E54"/>
    <mergeCell ref="D55:E55"/>
    <mergeCell ref="H55:I55"/>
    <mergeCell ref="J55:K55"/>
    <mergeCell ref="L55:N55"/>
    <mergeCell ref="D56:E56"/>
    <mergeCell ref="H56:I56"/>
    <mergeCell ref="J56:K56"/>
    <mergeCell ref="L56:N56"/>
    <mergeCell ref="A60:C60"/>
    <mergeCell ref="D60:E60"/>
    <mergeCell ref="D62:E62"/>
    <mergeCell ref="D63:E63"/>
    <mergeCell ref="D64:E64"/>
    <mergeCell ref="D65:E65"/>
    <mergeCell ref="D57:E57"/>
    <mergeCell ref="H57:I57"/>
    <mergeCell ref="J57:K57"/>
    <mergeCell ref="D69:E69"/>
    <mergeCell ref="G69:I69"/>
    <mergeCell ref="D70:E70"/>
    <mergeCell ref="G70:I70"/>
    <mergeCell ref="D71:E71"/>
    <mergeCell ref="G71:I71"/>
    <mergeCell ref="D66:E66"/>
    <mergeCell ref="G66:I66"/>
    <mergeCell ref="D67:E67"/>
    <mergeCell ref="G67:I67"/>
    <mergeCell ref="D68:E68"/>
    <mergeCell ref="G68:I68"/>
    <mergeCell ref="D75:E75"/>
    <mergeCell ref="G75:I75"/>
    <mergeCell ref="A77:C77"/>
    <mergeCell ref="D77:E77"/>
    <mergeCell ref="D78:E78"/>
    <mergeCell ref="D79:E79"/>
    <mergeCell ref="D72:E72"/>
    <mergeCell ref="G72:I72"/>
    <mergeCell ref="D73:E73"/>
    <mergeCell ref="G73:J73"/>
    <mergeCell ref="D74:E74"/>
    <mergeCell ref="G74:I74"/>
    <mergeCell ref="D86:E86"/>
    <mergeCell ref="D87:E87"/>
    <mergeCell ref="D88:E88"/>
    <mergeCell ref="D89:E89"/>
    <mergeCell ref="I89:K89"/>
    <mergeCell ref="D90:E90"/>
    <mergeCell ref="I90:K90"/>
    <mergeCell ref="D80:E80"/>
    <mergeCell ref="D81:E81"/>
    <mergeCell ref="D82:E82"/>
    <mergeCell ref="D83:E83"/>
    <mergeCell ref="D84:E84"/>
    <mergeCell ref="D85:E85"/>
    <mergeCell ref="D98:E98"/>
    <mergeCell ref="D99:E99"/>
    <mergeCell ref="D100:E100"/>
    <mergeCell ref="D101:E101"/>
    <mergeCell ref="D102:E102"/>
    <mergeCell ref="D103:E103"/>
    <mergeCell ref="A92:C92"/>
    <mergeCell ref="D92:E92"/>
    <mergeCell ref="D94:E94"/>
    <mergeCell ref="D95:E95"/>
    <mergeCell ref="D96:E96"/>
    <mergeCell ref="D97:E97"/>
    <mergeCell ref="A111:A123"/>
    <mergeCell ref="D111:E111"/>
    <mergeCell ref="H111:H112"/>
    <mergeCell ref="D112:E112"/>
    <mergeCell ref="D113:E113"/>
    <mergeCell ref="D114:E114"/>
    <mergeCell ref="D117:E117"/>
    <mergeCell ref="A105:C105"/>
    <mergeCell ref="D105:E105"/>
    <mergeCell ref="A106:A108"/>
    <mergeCell ref="D106:E106"/>
    <mergeCell ref="D107:E107"/>
    <mergeCell ref="D108:E108"/>
    <mergeCell ref="D118:E118"/>
    <mergeCell ref="D119:E119"/>
    <mergeCell ref="D120:E120"/>
    <mergeCell ref="D121:E121"/>
    <mergeCell ref="D122:E122"/>
    <mergeCell ref="D123:E123"/>
    <mergeCell ref="A109:A110"/>
    <mergeCell ref="D109:E109"/>
    <mergeCell ref="D110:E110"/>
    <mergeCell ref="D115:E115"/>
    <mergeCell ref="D116:E116"/>
    <mergeCell ref="A129:A130"/>
    <mergeCell ref="D129:E129"/>
    <mergeCell ref="D130:E130"/>
    <mergeCell ref="D131:E131"/>
    <mergeCell ref="A124:A126"/>
    <mergeCell ref="D124:E124"/>
    <mergeCell ref="D125:E125"/>
    <mergeCell ref="D126:E126"/>
    <mergeCell ref="A127:A128"/>
    <mergeCell ref="D127:E127"/>
    <mergeCell ref="D128:E128"/>
  </mergeCells>
  <conditionalFormatting sqref="B44">
    <cfRule type="cellIs" dxfId="56" priority="18" operator="equal">
      <formula>"Autre, Préciser :"</formula>
    </cfRule>
  </conditionalFormatting>
  <conditionalFormatting sqref="B57">
    <cfRule type="cellIs" dxfId="55" priority="9" operator="equal">
      <formula>"Autre, Préciser :"</formula>
    </cfRule>
  </conditionalFormatting>
  <conditionalFormatting sqref="B73">
    <cfRule type="cellIs" dxfId="54" priority="8" operator="equal">
      <formula>"Autre, Préciser :"</formula>
    </cfRule>
  </conditionalFormatting>
  <conditionalFormatting sqref="B126">
    <cfRule type="cellIs" dxfId="53" priority="23" operator="equal">
      <formula>"Autre, Préciser :"</formula>
    </cfRule>
  </conditionalFormatting>
  <conditionalFormatting sqref="C33:C45">
    <cfRule type="cellIs" dxfId="52" priority="17" operator="equal">
      <formula>"Obligatoire"</formula>
    </cfRule>
  </conditionalFormatting>
  <conditionalFormatting sqref="C48:C51">
    <cfRule type="cellIs" dxfId="51" priority="20" operator="equal">
      <formula>"Obligatoire"</formula>
    </cfRule>
  </conditionalFormatting>
  <conditionalFormatting sqref="C55:C57">
    <cfRule type="cellIs" dxfId="50" priority="19" operator="equal">
      <formula>"Obligatoire"</formula>
    </cfRule>
  </conditionalFormatting>
  <conditionalFormatting sqref="C61:C75">
    <cfRule type="cellIs" dxfId="49" priority="1" operator="equal">
      <formula>"Obligatoire"</formula>
    </cfRule>
  </conditionalFormatting>
  <conditionalFormatting sqref="C94:C98">
    <cfRule type="cellIs" dxfId="48" priority="13" operator="equal">
      <formula>"Obligatoire"</formula>
    </cfRule>
  </conditionalFormatting>
  <conditionalFormatting sqref="C106:C131">
    <cfRule type="cellIs" dxfId="47" priority="3" operator="equal">
      <formula>"Obligatoire"</formula>
    </cfRule>
  </conditionalFormatting>
  <conditionalFormatting sqref="C93:D93">
    <cfRule type="cellIs" dxfId="46" priority="16" operator="equal">
      <formula>"Obligatoire"</formula>
    </cfRule>
  </conditionalFormatting>
  <conditionalFormatting sqref="C14:E15 C16:D16 C17 C18:D21">
    <cfRule type="cellIs" dxfId="45" priority="22" operator="equal">
      <formula>"Obligatoire"</formula>
    </cfRule>
  </conditionalFormatting>
  <conditionalFormatting sqref="C22:E24">
    <cfRule type="cellIs" dxfId="44" priority="12" operator="equal">
      <formula>"Obligatoire"</formula>
    </cfRule>
  </conditionalFormatting>
  <conditionalFormatting sqref="D33">
    <cfRule type="cellIs" dxfId="43" priority="7" operator="equal">
      <formula>"Obligatoire"</formula>
    </cfRule>
  </conditionalFormatting>
  <conditionalFormatting sqref="D25:E26 C25:C29">
    <cfRule type="cellIs" dxfId="42" priority="14" operator="equal">
      <formula>"Obligatoire"</formula>
    </cfRule>
  </conditionalFormatting>
  <conditionalFormatting sqref="D61:E61">
    <cfRule type="cellIs" dxfId="41" priority="11" operator="equal">
      <formula>"Obligatoire"</formula>
    </cfRule>
  </conditionalFormatting>
  <conditionalFormatting sqref="H89">
    <cfRule type="cellIs" dxfId="40" priority="15" operator="greaterThan">
      <formula>0.15</formula>
    </cfRule>
  </conditionalFormatting>
  <dataValidations count="7">
    <dataValidation type="list" allowBlank="1" showInputMessage="1" showErrorMessage="1" sqref="C20" xr:uid="{084CE676-1D81-4AF9-B3AB-92731A308FAF}">
      <formula1>"Majorité effluents,Majorité CIVE,Majorité déchets,Mixte"</formula1>
    </dataValidation>
    <dataValidation type="list" allowBlank="1" showInputMessage="1" showErrorMessage="1" sqref="C20" xr:uid="{D93C3442-A903-42C7-8823-34DE84BE12E4}">
      <formula1>"Majorité effluent, Majorité CIVE,Majorité déchet,Mixte"</formula1>
    </dataValidation>
    <dataValidation type="list" allowBlank="1" showInputMessage="1" showErrorMessage="1" sqref="C19" xr:uid="{183F160F-6453-48BE-98F1-81541169217B}">
      <formula1>"A la ferme,Petit collectif,Territoriale"</formula1>
    </dataValidation>
    <dataValidation type="list" allowBlank="1" showInputMessage="1" showErrorMessage="1" sqref="C32:C33" xr:uid="{E5CE37EB-3A2C-431F-A668-42BF000753D5}">
      <formula1>"Prévisionnel,Réalisé"</formula1>
    </dataValidation>
    <dataValidation type="list" allowBlank="1" showInputMessage="1" showErrorMessage="1" sqref="C18" xr:uid="{97F950DB-9494-41B2-91F9-1D97A0471D17}">
      <formula1>$Y$18:$Y$21</formula1>
    </dataValidation>
    <dataValidation type="list" allowBlank="1" showInputMessage="1" showErrorMessage="1" sqref="C15" xr:uid="{351FC3AA-CF9F-4F02-BE0E-CD6283E1314E}">
      <formula1>"Cogé,Injection,A REMPLIR"</formula1>
    </dataValidation>
    <dataValidation type="list" allowBlank="1" showInputMessage="1" showErrorMessage="1" sqref="C21" xr:uid="{53B30BEC-42C2-436F-861D-F12EAECE4EEB}">
      <formula1>"Déclaration,Enregistrement,Autorisation"</formula1>
    </dataValidation>
  </dataValidations>
  <pageMargins left="0.70866141732283472" right="0.70866141732283472" top="0.19685039370078741" bottom="0.15748031496062992" header="0.27559055118110237" footer="0.18"/>
  <pageSetup paperSize="8" fitToHeight="0" orientation="landscape" r:id="rId1"/>
  <headerFooter>
    <oddFooter>&amp;R&amp;P/3</oddFooter>
  </headerFooter>
  <rowBreaks count="1" manualBreakCount="1">
    <brk id="104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E1FFD-894E-42FA-A1AE-CFED50B3ECAD}">
  <dimension ref="A1:P39"/>
  <sheetViews>
    <sheetView tabSelected="1" topLeftCell="A12" workbookViewId="0">
      <selection activeCell="C36" sqref="C36"/>
    </sheetView>
  </sheetViews>
  <sheetFormatPr baseColWidth="10" defaultRowHeight="15.6" x14ac:dyDescent="0.3"/>
  <cols>
    <col min="1" max="1" width="4.59765625" customWidth="1"/>
    <col min="2" max="2" width="40.8984375" customWidth="1"/>
    <col min="3" max="3" width="15.19921875" bestFit="1" customWidth="1"/>
    <col min="7" max="7" width="11.19921875" style="327"/>
  </cols>
  <sheetData>
    <row r="1" spans="1:16" x14ac:dyDescent="0.3">
      <c r="B1" s="323" t="s">
        <v>292</v>
      </c>
    </row>
    <row r="2" spans="1:16" ht="16.2" thickBot="1" x14ac:dyDescent="0.35">
      <c r="N2" t="s">
        <v>289</v>
      </c>
      <c r="O2" s="299">
        <f>C27</f>
        <v>0.02</v>
      </c>
    </row>
    <row r="3" spans="1:16" x14ac:dyDescent="0.3">
      <c r="A3" s="416" t="s">
        <v>246</v>
      </c>
      <c r="B3" s="417"/>
      <c r="C3" s="417"/>
      <c r="D3" s="347" t="s">
        <v>24</v>
      </c>
      <c r="E3" s="348"/>
      <c r="G3" s="328" t="s">
        <v>295</v>
      </c>
      <c r="N3" t="s">
        <v>81</v>
      </c>
      <c r="O3" t="s">
        <v>290</v>
      </c>
      <c r="P3" t="s">
        <v>291</v>
      </c>
    </row>
    <row r="4" spans="1:16" x14ac:dyDescent="0.3">
      <c r="A4" s="450" t="s">
        <v>262</v>
      </c>
      <c r="B4" s="12" t="s">
        <v>230</v>
      </c>
      <c r="C4" s="307">
        <f>'2024'!C24</f>
        <v>0</v>
      </c>
      <c r="D4" s="302" t="s">
        <v>239</v>
      </c>
      <c r="E4" s="303"/>
      <c r="G4" s="327" t="s">
        <v>265</v>
      </c>
      <c r="N4">
        <v>1</v>
      </c>
      <c r="O4" s="297">
        <v>1</v>
      </c>
      <c r="P4" s="297">
        <f>AVERAGE(O4)</f>
        <v>1</v>
      </c>
    </row>
    <row r="5" spans="1:16" x14ac:dyDescent="0.3">
      <c r="A5" s="451"/>
      <c r="B5" t="s">
        <v>242</v>
      </c>
      <c r="C5" s="308">
        <f>'2024'!C93</f>
        <v>0</v>
      </c>
      <c r="D5" s="309" t="s">
        <v>36</v>
      </c>
      <c r="E5" s="303"/>
      <c r="N5">
        <v>2</v>
      </c>
      <c r="O5" s="297">
        <f>O4*(1+$O$2)</f>
        <v>1.02</v>
      </c>
      <c r="P5" s="297">
        <f>AVERAGE(O$4:O5)</f>
        <v>1.01</v>
      </c>
    </row>
    <row r="6" spans="1:16" x14ac:dyDescent="0.3">
      <c r="A6" s="451"/>
      <c r="B6" s="12" t="s">
        <v>241</v>
      </c>
      <c r="C6" s="310" t="e">
        <f>C4/C5/9.7</f>
        <v>#DIV/0!</v>
      </c>
      <c r="D6" s="302" t="s">
        <v>240</v>
      </c>
      <c r="E6" s="303"/>
      <c r="G6" s="327" t="s">
        <v>266</v>
      </c>
      <c r="N6">
        <v>3</v>
      </c>
      <c r="O6" s="297">
        <f t="shared" ref="O6:O19" si="0">O5*(1+$O$2)</f>
        <v>1.0404</v>
      </c>
      <c r="P6" s="297">
        <f>AVERAGE(O$4:O6)</f>
        <v>1.0201333333333333</v>
      </c>
    </row>
    <row r="7" spans="1:16" x14ac:dyDescent="0.3">
      <c r="A7" s="451"/>
      <c r="B7" s="12" t="s">
        <v>244</v>
      </c>
      <c r="C7" s="295" t="e">
        <f>C6*8200*10.8/10^6</f>
        <v>#DIV/0!</v>
      </c>
      <c r="D7" s="302" t="s">
        <v>245</v>
      </c>
      <c r="E7" s="303"/>
      <c r="G7" s="327" t="s">
        <v>267</v>
      </c>
      <c r="N7">
        <v>4</v>
      </c>
      <c r="O7" s="297">
        <f t="shared" si="0"/>
        <v>1.0612079999999999</v>
      </c>
      <c r="P7" s="297">
        <f>AVERAGE(O$4:O7)</f>
        <v>1.030402</v>
      </c>
    </row>
    <row r="8" spans="1:16" x14ac:dyDescent="0.3">
      <c r="A8" s="451"/>
      <c r="B8" s="12" t="s">
        <v>231</v>
      </c>
      <c r="C8" s="293"/>
      <c r="D8" s="302" t="s">
        <v>243</v>
      </c>
      <c r="E8" s="303"/>
      <c r="G8" s="327" t="s">
        <v>277</v>
      </c>
      <c r="N8">
        <v>5</v>
      </c>
      <c r="O8" s="297">
        <f t="shared" si="0"/>
        <v>1.08243216</v>
      </c>
      <c r="P8" s="297">
        <f>AVERAGE(O$4:O8)</f>
        <v>1.0408080319999999</v>
      </c>
    </row>
    <row r="9" spans="1:16" x14ac:dyDescent="0.3">
      <c r="A9" s="451"/>
      <c r="B9" s="12" t="s">
        <v>232</v>
      </c>
      <c r="C9" s="234"/>
      <c r="D9" s="302" t="s">
        <v>243</v>
      </c>
      <c r="E9" s="303"/>
      <c r="G9" s="327" t="s">
        <v>298</v>
      </c>
      <c r="N9">
        <v>6</v>
      </c>
      <c r="O9" s="297">
        <f t="shared" si="0"/>
        <v>1.1040808032</v>
      </c>
      <c r="P9" s="297">
        <f>AVERAGE(O$4:O9)</f>
        <v>1.0513534938666667</v>
      </c>
    </row>
    <row r="10" spans="1:16" x14ac:dyDescent="0.3">
      <c r="A10" s="451"/>
      <c r="B10" s="12" t="s">
        <v>233</v>
      </c>
      <c r="C10" s="233"/>
      <c r="D10" s="302" t="s">
        <v>243</v>
      </c>
      <c r="E10" s="303"/>
      <c r="G10" s="327" t="s">
        <v>268</v>
      </c>
      <c r="N10">
        <v>7</v>
      </c>
      <c r="O10" s="297">
        <f t="shared" si="0"/>
        <v>1.1261624192640001</v>
      </c>
      <c r="P10" s="297">
        <f>AVERAGE(O$4:O10)</f>
        <v>1.062040483209143</v>
      </c>
    </row>
    <row r="11" spans="1:16" x14ac:dyDescent="0.3">
      <c r="A11" s="451"/>
      <c r="B11" s="12" t="s">
        <v>234</v>
      </c>
      <c r="C11" s="234"/>
      <c r="D11" s="302" t="s">
        <v>243</v>
      </c>
      <c r="E11" s="303"/>
      <c r="G11" s="327" t="s">
        <v>269</v>
      </c>
      <c r="N11">
        <v>8</v>
      </c>
      <c r="O11" s="297">
        <f t="shared" si="0"/>
        <v>1.14868566764928</v>
      </c>
      <c r="P11" s="297">
        <f>AVERAGE(O$4:O11)</f>
        <v>1.0728711312641601</v>
      </c>
    </row>
    <row r="12" spans="1:16" x14ac:dyDescent="0.3">
      <c r="A12" s="451"/>
      <c r="B12" s="12" t="s">
        <v>235</v>
      </c>
      <c r="C12" s="233"/>
      <c r="D12" s="302" t="s">
        <v>243</v>
      </c>
      <c r="E12" s="103"/>
      <c r="G12" s="327" t="s">
        <v>270</v>
      </c>
      <c r="N12">
        <v>9</v>
      </c>
      <c r="O12" s="297">
        <f t="shared" si="0"/>
        <v>1.1716593810022657</v>
      </c>
      <c r="P12" s="297">
        <f>AVERAGE(O$4:O12)</f>
        <v>1.083847603457283</v>
      </c>
    </row>
    <row r="13" spans="1:16" x14ac:dyDescent="0.3">
      <c r="A13" s="451"/>
      <c r="B13" s="12" t="s">
        <v>236</v>
      </c>
      <c r="C13" s="235"/>
      <c r="D13" s="304" t="s">
        <v>243</v>
      </c>
      <c r="E13" s="305"/>
      <c r="G13" s="327" t="s">
        <v>271</v>
      </c>
      <c r="N13">
        <v>10</v>
      </c>
      <c r="O13" s="297">
        <f t="shared" si="0"/>
        <v>1.1950925686223111</v>
      </c>
      <c r="P13" s="297">
        <f>AVERAGE(O$4:O13)</f>
        <v>1.0949720999737858</v>
      </c>
    </row>
    <row r="14" spans="1:16" x14ac:dyDescent="0.3">
      <c r="A14" s="451"/>
      <c r="B14" s="59" t="s">
        <v>237</v>
      </c>
      <c r="C14" s="233"/>
      <c r="D14" s="306" t="s">
        <v>243</v>
      </c>
      <c r="E14" s="103"/>
      <c r="G14" s="327" t="s">
        <v>297</v>
      </c>
      <c r="N14">
        <v>11</v>
      </c>
      <c r="O14" s="297">
        <f t="shared" si="0"/>
        <v>1.2189944199947573</v>
      </c>
      <c r="P14" s="297">
        <f>AVERAGE(O$4:O14)</f>
        <v>1.1062468563393286</v>
      </c>
    </row>
    <row r="15" spans="1:16" x14ac:dyDescent="0.3">
      <c r="A15" s="451"/>
      <c r="B15" s="59" t="s">
        <v>276</v>
      </c>
      <c r="C15" s="293"/>
      <c r="D15" s="306" t="s">
        <v>243</v>
      </c>
      <c r="E15" s="103"/>
      <c r="G15" s="327" t="s">
        <v>278</v>
      </c>
      <c r="N15">
        <v>12</v>
      </c>
      <c r="O15" s="297">
        <f t="shared" si="0"/>
        <v>1.2433743083946525</v>
      </c>
      <c r="P15" s="297">
        <f>AVERAGE(O$4:O15)</f>
        <v>1.1176741440106057</v>
      </c>
    </row>
    <row r="16" spans="1:16" x14ac:dyDescent="0.3">
      <c r="A16" s="451"/>
      <c r="B16" s="59" t="s">
        <v>238</v>
      </c>
      <c r="C16" s="302">
        <f>SUM(C8:C14)</f>
        <v>0</v>
      </c>
      <c r="D16" s="301" t="s">
        <v>243</v>
      </c>
      <c r="E16" s="103"/>
      <c r="N16">
        <v>13</v>
      </c>
      <c r="O16" s="297">
        <f t="shared" si="0"/>
        <v>1.2682417945625455</v>
      </c>
      <c r="P16" s="297">
        <f>AVERAGE(O$4:O16)</f>
        <v>1.1292562709761396</v>
      </c>
    </row>
    <row r="17" spans="1:16" x14ac:dyDescent="0.3">
      <c r="A17" s="451"/>
      <c r="B17" s="1" t="s">
        <v>247</v>
      </c>
      <c r="C17" s="294">
        <v>0.04</v>
      </c>
      <c r="D17" s="301"/>
      <c r="E17" s="103"/>
      <c r="G17" s="327" t="s">
        <v>296</v>
      </c>
      <c r="N17">
        <v>14</v>
      </c>
      <c r="O17" s="297">
        <f t="shared" si="0"/>
        <v>1.2936066304537963</v>
      </c>
      <c r="P17" s="297">
        <f>AVERAGE(O$4:O17)</f>
        <v>1.1409955823674007</v>
      </c>
    </row>
    <row r="18" spans="1:16" x14ac:dyDescent="0.3">
      <c r="A18" s="451"/>
      <c r="B18" s="12" t="s">
        <v>248</v>
      </c>
      <c r="C18" s="237">
        <v>10</v>
      </c>
      <c r="D18" s="301" t="s">
        <v>249</v>
      </c>
      <c r="E18" s="103"/>
      <c r="N18">
        <v>15</v>
      </c>
      <c r="O18" s="297">
        <f t="shared" si="0"/>
        <v>1.3194787630628724</v>
      </c>
      <c r="P18" s="297">
        <f>AVERAGE(O$4:O18)</f>
        <v>1.1528944610804321</v>
      </c>
    </row>
    <row r="19" spans="1:16" x14ac:dyDescent="0.3">
      <c r="A19" s="451"/>
      <c r="B19" s="12" t="s">
        <v>251</v>
      </c>
      <c r="C19" s="300">
        <f>C16*(1+C17*C18/2)/C18</f>
        <v>0</v>
      </c>
      <c r="D19" s="301" t="s">
        <v>250</v>
      </c>
      <c r="E19" s="103"/>
      <c r="G19" s="327" t="s">
        <v>272</v>
      </c>
      <c r="N19">
        <v>16</v>
      </c>
      <c r="O19" s="297">
        <f t="shared" si="0"/>
        <v>1.3458683383241299</v>
      </c>
      <c r="P19" s="297">
        <f>AVERAGE(O$4:O19)</f>
        <v>1.1649553284081633</v>
      </c>
    </row>
    <row r="20" spans="1:16" x14ac:dyDescent="0.3">
      <c r="A20" s="451"/>
      <c r="B20" s="324" t="s">
        <v>300</v>
      </c>
      <c r="C20" s="237">
        <v>100</v>
      </c>
      <c r="D20" s="325" t="s">
        <v>36</v>
      </c>
      <c r="E20" s="326"/>
      <c r="G20" s="327" t="s">
        <v>301</v>
      </c>
      <c r="N20">
        <v>17</v>
      </c>
      <c r="O20" s="297">
        <f t="shared" ref="O20:O28" si="1">O19*(1+$O$2)</f>
        <v>1.3727857050906125</v>
      </c>
      <c r="P20" s="297">
        <f>AVERAGE(O$4:O20)</f>
        <v>1.1771806446836015</v>
      </c>
    </row>
    <row r="21" spans="1:16" ht="16.2" thickBot="1" x14ac:dyDescent="0.35">
      <c r="A21" s="452"/>
      <c r="B21" s="74" t="s">
        <v>252</v>
      </c>
      <c r="C21" s="444"/>
      <c r="D21" s="445"/>
      <c r="E21" s="446"/>
      <c r="N21">
        <v>18</v>
      </c>
      <c r="O21" s="297">
        <f t="shared" si="1"/>
        <v>1.4002414191924248</v>
      </c>
      <c r="P21" s="297">
        <f>AVERAGE(O$4:O21)</f>
        <v>1.1895729099340917</v>
      </c>
    </row>
    <row r="22" spans="1:16" ht="16.2" thickBot="1" x14ac:dyDescent="0.35">
      <c r="N22">
        <v>19</v>
      </c>
      <c r="O22" s="297">
        <f t="shared" si="1"/>
        <v>1.4282462475762734</v>
      </c>
      <c r="P22" s="297">
        <f>AVERAGE(O$4:O22)</f>
        <v>1.202134664546838</v>
      </c>
    </row>
    <row r="23" spans="1:16" x14ac:dyDescent="0.3">
      <c r="A23" s="416" t="s">
        <v>253</v>
      </c>
      <c r="B23" s="417"/>
      <c r="C23" s="417"/>
      <c r="D23" s="347" t="s">
        <v>24</v>
      </c>
      <c r="E23" s="348"/>
      <c r="N23">
        <v>20</v>
      </c>
      <c r="O23" s="297">
        <f t="shared" si="1"/>
        <v>1.4568111725277988</v>
      </c>
      <c r="P23" s="297">
        <f>AVERAGE(O$4:O23)</f>
        <v>1.2148684899458861</v>
      </c>
    </row>
    <row r="24" spans="1:16" x14ac:dyDescent="0.3">
      <c r="A24" s="447" t="s">
        <v>20</v>
      </c>
      <c r="B24" s="322" t="s">
        <v>255</v>
      </c>
      <c r="C24" s="233">
        <v>50</v>
      </c>
      <c r="D24" s="306" t="s">
        <v>250</v>
      </c>
      <c r="E24" s="321"/>
      <c r="G24" s="327" t="s">
        <v>273</v>
      </c>
      <c r="N24">
        <v>21</v>
      </c>
      <c r="O24" s="297">
        <f t="shared" si="1"/>
        <v>1.4859473959783549</v>
      </c>
      <c r="P24" s="297">
        <f>AVERAGE(O$4:O24)</f>
        <v>1.2277770092807656</v>
      </c>
    </row>
    <row r="25" spans="1:16" x14ac:dyDescent="0.3">
      <c r="A25" s="448"/>
      <c r="B25" s="322" t="s">
        <v>274</v>
      </c>
      <c r="C25" s="233"/>
      <c r="D25" s="306" t="s">
        <v>250</v>
      </c>
      <c r="E25" s="321"/>
      <c r="G25" s="327" t="s">
        <v>275</v>
      </c>
      <c r="N25">
        <v>22</v>
      </c>
      <c r="O25" s="297">
        <f t="shared" si="1"/>
        <v>1.5156663438979221</v>
      </c>
      <c r="P25" s="297">
        <f>AVERAGE(O$4:O25)</f>
        <v>1.2408628881270001</v>
      </c>
    </row>
    <row r="26" spans="1:16" x14ac:dyDescent="0.3">
      <c r="A26" s="448"/>
      <c r="B26" s="322" t="s">
        <v>263</v>
      </c>
      <c r="C26" s="233"/>
      <c r="D26" s="306" t="s">
        <v>250</v>
      </c>
      <c r="E26" s="321"/>
      <c r="N26">
        <v>23</v>
      </c>
      <c r="O26" s="297">
        <f t="shared" si="1"/>
        <v>1.5459796707758806</v>
      </c>
      <c r="P26" s="297">
        <f>AVERAGE(O$4:O26)</f>
        <v>1.2541288351986906</v>
      </c>
    </row>
    <row r="27" spans="1:16" x14ac:dyDescent="0.3">
      <c r="A27" s="448"/>
      <c r="B27" s="322" t="s">
        <v>286</v>
      </c>
      <c r="C27" s="294">
        <v>0.02</v>
      </c>
      <c r="D27" s="306"/>
      <c r="E27" s="321"/>
      <c r="G27" s="327" t="s">
        <v>287</v>
      </c>
      <c r="N27">
        <v>24</v>
      </c>
      <c r="O27" s="297">
        <f t="shared" si="1"/>
        <v>1.5768992641913981</v>
      </c>
      <c r="P27" s="297">
        <f>AVERAGE(O$4:O27)</f>
        <v>1.2675776030733867</v>
      </c>
    </row>
    <row r="28" spans="1:16" x14ac:dyDescent="0.3">
      <c r="A28" s="448"/>
      <c r="B28" s="12" t="s">
        <v>256</v>
      </c>
      <c r="C28" s="311" t="e">
        <f>'2024'!I108*$C$5/9.7*10.8</f>
        <v>#DIV/0!</v>
      </c>
      <c r="D28" s="312" t="s">
        <v>259</v>
      </c>
      <c r="E28" s="303"/>
      <c r="G28" s="327" t="s">
        <v>279</v>
      </c>
      <c r="N28">
        <v>25</v>
      </c>
      <c r="O28" s="297">
        <f t="shared" si="1"/>
        <v>1.6084372494752261</v>
      </c>
      <c r="P28" s="297">
        <f>AVERAGE(O$4:O28)</f>
        <v>1.2812119889294602</v>
      </c>
    </row>
    <row r="29" spans="1:16" x14ac:dyDescent="0.3">
      <c r="A29" s="448"/>
      <c r="B29" t="s">
        <v>19</v>
      </c>
      <c r="C29" s="311" t="e">
        <f>'2024'!I109*$C$5/9.7*10.8</f>
        <v>#DIV/0!</v>
      </c>
      <c r="D29" s="312" t="s">
        <v>259</v>
      </c>
      <c r="E29" s="303"/>
      <c r="G29" s="327" t="s">
        <v>280</v>
      </c>
    </row>
    <row r="30" spans="1:16" x14ac:dyDescent="0.3">
      <c r="A30" s="448"/>
      <c r="B30" s="12" t="s">
        <v>20</v>
      </c>
      <c r="C30" s="329" t="e">
        <f>('2024'!I110-('2024'!C113+'2024'!C114+'2024'!C120)/'2024'!C62)*$C$5/9.7*10.8+'Simulation conversion'!C24/'Simulation conversion'!C7+C25/C7+C26/C7+C31</f>
        <v>#DIV/0!</v>
      </c>
      <c r="D30" s="312" t="s">
        <v>259</v>
      </c>
      <c r="E30" s="303"/>
      <c r="G30" s="327" t="s">
        <v>280</v>
      </c>
    </row>
    <row r="31" spans="1:16" x14ac:dyDescent="0.3">
      <c r="A31" s="448"/>
      <c r="B31" s="313" t="s">
        <v>254</v>
      </c>
      <c r="C31" s="314" t="e">
        <f>'2024'!C120/'2024'!C96*0.1</f>
        <v>#DIV/0!</v>
      </c>
      <c r="D31" s="315" t="s">
        <v>259</v>
      </c>
      <c r="E31" s="303"/>
      <c r="G31" s="327" t="s">
        <v>282</v>
      </c>
    </row>
    <row r="32" spans="1:16" x14ac:dyDescent="0.3">
      <c r="A32" s="448"/>
      <c r="B32" s="313" t="s">
        <v>264</v>
      </c>
      <c r="C32" s="314" t="e">
        <f>C24/C7</f>
        <v>#DIV/0!</v>
      </c>
      <c r="D32" s="315" t="s">
        <v>259</v>
      </c>
      <c r="E32" s="303"/>
      <c r="G32" s="327" t="s">
        <v>280</v>
      </c>
    </row>
    <row r="33" spans="1:7" x14ac:dyDescent="0.3">
      <c r="A33" s="448"/>
      <c r="B33" s="12" t="s">
        <v>42</v>
      </c>
      <c r="C33" s="307" t="e">
        <f>'2024'!I113*$C$5/9.7*10.8+C26/C7</f>
        <v>#DIV/0!</v>
      </c>
      <c r="D33" s="302" t="s">
        <v>259</v>
      </c>
      <c r="E33" s="303"/>
      <c r="G33" s="327" t="s">
        <v>279</v>
      </c>
    </row>
    <row r="34" spans="1:7" x14ac:dyDescent="0.3">
      <c r="A34" s="448"/>
      <c r="B34" s="12" t="s">
        <v>21</v>
      </c>
      <c r="C34" s="307" t="e">
        <f>'2024'!I114*$C$5/9.7*10.8</f>
        <v>#DIV/0!</v>
      </c>
      <c r="D34" s="302" t="s">
        <v>259</v>
      </c>
      <c r="E34" s="303"/>
      <c r="G34" s="327" t="s">
        <v>280</v>
      </c>
    </row>
    <row r="35" spans="1:7" x14ac:dyDescent="0.3">
      <c r="A35" s="448"/>
      <c r="B35" s="12" t="s">
        <v>257</v>
      </c>
      <c r="C35" s="307" t="e">
        <f>('2024'!I115*(1-C20))*$C$5/9.7*10.8</f>
        <v>#DIV/0!</v>
      </c>
      <c r="D35" s="302" t="s">
        <v>259</v>
      </c>
      <c r="E35" s="303"/>
      <c r="G35" s="327" t="s">
        <v>293</v>
      </c>
    </row>
    <row r="36" spans="1:7" x14ac:dyDescent="0.3">
      <c r="A36" s="448"/>
      <c r="B36" s="12" t="s">
        <v>258</v>
      </c>
      <c r="C36" s="307" t="e">
        <f>C19/C7</f>
        <v>#DIV/0!</v>
      </c>
      <c r="D36" s="302" t="s">
        <v>259</v>
      </c>
      <c r="E36" s="103"/>
      <c r="G36" s="327" t="s">
        <v>281</v>
      </c>
    </row>
    <row r="37" spans="1:7" x14ac:dyDescent="0.3">
      <c r="A37" s="448"/>
      <c r="B37" s="124" t="s">
        <v>261</v>
      </c>
      <c r="C37" s="316" t="e">
        <f>SUM(C28:C30,C33:C36)</f>
        <v>#DIV/0!</v>
      </c>
      <c r="D37" s="317" t="s">
        <v>259</v>
      </c>
      <c r="E37" s="305"/>
      <c r="G37" s="327" t="s">
        <v>294</v>
      </c>
    </row>
    <row r="38" spans="1:7" x14ac:dyDescent="0.3">
      <c r="A38" s="448"/>
      <c r="B38" s="318" t="s">
        <v>288</v>
      </c>
      <c r="C38" s="319" t="e">
        <f>SUM(C28:C30,C33:C34)*VLOOKUP(C18,N4:P28,3,TRUE)+C35+C36</f>
        <v>#DIV/0!</v>
      </c>
      <c r="D38" s="302" t="s">
        <v>259</v>
      </c>
      <c r="E38" s="320"/>
      <c r="G38" s="327" t="s">
        <v>299</v>
      </c>
    </row>
    <row r="39" spans="1:7" ht="16.2" thickBot="1" x14ac:dyDescent="0.35">
      <c r="A39" s="449"/>
      <c r="B39" s="74" t="s">
        <v>252</v>
      </c>
      <c r="C39" s="444"/>
      <c r="D39" s="445"/>
      <c r="E39" s="446"/>
    </row>
  </sheetData>
  <sheetProtection algorithmName="SHA-512" hashValue="p2rLq5sGos2VkeQih+7ZgUvTWC5P+CEEtC9oqHr1a49NOEIzyt9J4B+59yz/M4Gd/4ZGYBxuK1rWTVuA69X0OQ==" saltValue="AJUUbyGoX/LGTLWwlMBD6g==" spinCount="100000" sheet="1" objects="1" scenarios="1"/>
  <mergeCells count="8">
    <mergeCell ref="C39:E39"/>
    <mergeCell ref="A24:A39"/>
    <mergeCell ref="A3:C3"/>
    <mergeCell ref="D3:E3"/>
    <mergeCell ref="A23:C23"/>
    <mergeCell ref="C21:E21"/>
    <mergeCell ref="D23:E23"/>
    <mergeCell ref="A4:A21"/>
  </mergeCells>
  <conditionalFormatting sqref="C17:C20">
    <cfRule type="cellIs" dxfId="39" priority="1" operator="equal">
      <formula>"Obligatoire"</formula>
    </cfRule>
  </conditionalFormatting>
  <conditionalFormatting sqref="C24:D27">
    <cfRule type="cellIs" dxfId="38" priority="3" operator="equal">
      <formula>"Obligatoire"</formula>
    </cfRule>
  </conditionalFormatting>
  <conditionalFormatting sqref="C4:E4 C5 E5:E10 C6:D16 E12:E15">
    <cfRule type="cellIs" dxfId="37" priority="12" operator="equal">
      <formula>"Obligatoire"</formula>
    </cfRule>
  </conditionalFormatting>
  <conditionalFormatting sqref="C28:E28 E29:E34 C29:D37 E36:E37">
    <cfRule type="cellIs" dxfId="36" priority="8" operator="equal">
      <formula>"Obligatoire"</formula>
    </cfRule>
  </conditionalFormatting>
  <conditionalFormatting sqref="C38:E38">
    <cfRule type="cellIs" dxfId="35" priority="2" operator="equal">
      <formula>"Obligatoire"</formula>
    </cfRule>
  </conditionalFormatting>
  <conditionalFormatting sqref="D16:E17">
    <cfRule type="cellIs" dxfId="34" priority="11" operator="equal">
      <formula>"Obligatoire"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62B81-0111-484F-A4AA-140CBD4C08A0}">
  <sheetPr>
    <tabColor theme="9" tint="0.39997558519241921"/>
    <pageSetUpPr fitToPage="1"/>
  </sheetPr>
  <dimension ref="A1:AE140"/>
  <sheetViews>
    <sheetView showGridLines="0" zoomScaleNormal="100" zoomScaleSheetLayoutView="100" workbookViewId="0">
      <pane xSplit="1" ySplit="1" topLeftCell="B123" activePane="bottomRight" state="frozen"/>
      <selection pane="topRight" activeCell="B1" sqref="B1"/>
      <selection pane="bottomLeft" activeCell="A2" sqref="A2"/>
      <selection pane="bottomRight" activeCell="C129" sqref="C129"/>
    </sheetView>
  </sheetViews>
  <sheetFormatPr baseColWidth="10" defaultRowHeight="15.6" x14ac:dyDescent="0.3"/>
  <cols>
    <col min="1" max="1" width="4" customWidth="1"/>
    <col min="2" max="2" width="40.8984375" style="1" customWidth="1"/>
    <col min="3" max="3" width="14.09765625" customWidth="1"/>
    <col min="4" max="4" width="4" customWidth="1"/>
    <col min="5" max="5" width="10.09765625" style="28" customWidth="1"/>
    <col min="6" max="6" width="5.5" customWidth="1"/>
    <col min="7" max="7" width="14" customWidth="1"/>
    <col min="8" max="8" width="15.3984375" style="26" customWidth="1"/>
    <col min="9" max="9" width="10.69921875" style="26" customWidth="1"/>
    <col min="10" max="10" width="10.3984375" style="26" customWidth="1"/>
    <col min="11" max="12" width="11.19921875" style="7"/>
    <col min="13" max="13" width="11.5" style="7" bestFit="1" customWidth="1"/>
    <col min="14" max="14" width="14.19921875" style="7" customWidth="1"/>
    <col min="15" max="15" width="40.59765625" bestFit="1" customWidth="1"/>
  </cols>
  <sheetData>
    <row r="1" spans="1:14" ht="23.25" customHeight="1" x14ac:dyDescent="0.3">
      <c r="A1" s="409" t="s">
        <v>197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ht="7.5" customHeight="1" x14ac:dyDescent="0.4">
      <c r="A2" s="66"/>
      <c r="K2" s="11"/>
      <c r="L2" s="11"/>
      <c r="M2" s="11"/>
      <c r="N2" s="11"/>
    </row>
    <row r="3" spans="1:14" ht="15.75" customHeight="1" x14ac:dyDescent="0.3">
      <c r="A3" s="410" t="s">
        <v>223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</row>
    <row r="4" spans="1:14" ht="7.5" customHeight="1" x14ac:dyDescent="0.3"/>
    <row r="5" spans="1:14" ht="17.399999999999999" customHeight="1" x14ac:dyDescent="0.3">
      <c r="B5"/>
      <c r="G5" s="432" t="s">
        <v>180</v>
      </c>
      <c r="H5" s="433"/>
      <c r="I5" s="433"/>
      <c r="J5" s="433"/>
      <c r="K5" s="433"/>
      <c r="L5" s="433"/>
      <c r="M5" s="433"/>
      <c r="N5" s="434"/>
    </row>
    <row r="6" spans="1:14" ht="15.6" customHeight="1" x14ac:dyDescent="0.3">
      <c r="B6" s="135" t="s">
        <v>181</v>
      </c>
      <c r="G6" s="435" t="s">
        <v>224</v>
      </c>
      <c r="H6" s="436"/>
      <c r="I6" s="436"/>
      <c r="J6" s="436"/>
      <c r="K6" s="436"/>
      <c r="L6" s="436"/>
      <c r="M6" s="436"/>
      <c r="N6" s="437"/>
    </row>
    <row r="7" spans="1:14" ht="15" customHeight="1" x14ac:dyDescent="0.4">
      <c r="F7" s="3"/>
      <c r="G7" s="435"/>
      <c r="H7" s="436"/>
      <c r="I7" s="436"/>
      <c r="J7" s="436"/>
      <c r="K7" s="436"/>
      <c r="L7" s="436"/>
      <c r="M7" s="436"/>
      <c r="N7" s="437"/>
    </row>
    <row r="8" spans="1:14" ht="15" customHeight="1" x14ac:dyDescent="0.4">
      <c r="F8" s="3"/>
      <c r="G8" s="438"/>
      <c r="H8" s="439"/>
      <c r="I8" s="439"/>
      <c r="J8" s="439"/>
      <c r="K8" s="439"/>
      <c r="L8" s="439"/>
      <c r="M8" s="439"/>
      <c r="N8" s="440"/>
    </row>
    <row r="9" spans="1:14" ht="9.75" customHeight="1" thickBot="1" x14ac:dyDescent="0.45">
      <c r="A9" s="4"/>
      <c r="B9" s="3"/>
      <c r="C9" s="3"/>
      <c r="D9" s="3"/>
      <c r="E9" s="29"/>
      <c r="F9" s="3"/>
      <c r="G9" s="3"/>
      <c r="H9" s="27"/>
      <c r="I9" s="27"/>
      <c r="J9" s="27"/>
      <c r="K9" s="8"/>
      <c r="L9" s="8"/>
      <c r="M9" s="8"/>
      <c r="N9" s="8"/>
    </row>
    <row r="10" spans="1:14" ht="21.6" thickBot="1" x14ac:dyDescent="0.45">
      <c r="A10" s="411" t="s">
        <v>51</v>
      </c>
      <c r="B10" s="412"/>
      <c r="C10" s="230"/>
      <c r="D10" s="125" t="s">
        <v>115</v>
      </c>
      <c r="E10" s="231"/>
      <c r="F10" s="95"/>
      <c r="G10" s="413" t="s">
        <v>177</v>
      </c>
      <c r="H10" s="414"/>
      <c r="I10" s="414"/>
      <c r="J10" s="414"/>
      <c r="K10" s="414"/>
      <c r="L10" s="414"/>
      <c r="M10" s="414"/>
      <c r="N10" s="415"/>
    </row>
    <row r="11" spans="1:14" ht="10.5" customHeight="1" thickBot="1" x14ac:dyDescent="0.45">
      <c r="A11" s="4"/>
      <c r="B11" s="3"/>
      <c r="C11" s="3"/>
      <c r="D11" s="3"/>
      <c r="E11" s="29"/>
      <c r="F11" s="95"/>
      <c r="G11" s="3"/>
      <c r="H11" s="27"/>
      <c r="I11" s="27"/>
      <c r="J11" s="27"/>
      <c r="K11" s="8"/>
      <c r="L11" s="8"/>
      <c r="M11" s="8"/>
      <c r="N11" s="8"/>
    </row>
    <row r="12" spans="1:14" ht="21.6" thickBot="1" x14ac:dyDescent="0.45">
      <c r="A12" s="3"/>
      <c r="B12" s="128" t="s">
        <v>182</v>
      </c>
      <c r="C12" s="255" t="s">
        <v>121</v>
      </c>
      <c r="D12" s="127"/>
      <c r="E12" s="126"/>
      <c r="F12" s="95"/>
      <c r="G12" s="67" t="s">
        <v>52</v>
      </c>
      <c r="H12" s="68"/>
      <c r="I12" s="68"/>
      <c r="J12" s="68"/>
      <c r="K12" s="68"/>
      <c r="L12" s="68"/>
      <c r="M12" s="68"/>
      <c r="N12" s="68"/>
    </row>
    <row r="13" spans="1:14" x14ac:dyDescent="0.3">
      <c r="A13" s="416" t="s">
        <v>0</v>
      </c>
      <c r="B13" s="417"/>
      <c r="C13" s="417"/>
      <c r="D13" s="347" t="s">
        <v>24</v>
      </c>
      <c r="E13" s="348"/>
      <c r="F13" s="90"/>
      <c r="G13" s="418" t="s">
        <v>226</v>
      </c>
      <c r="H13" s="419"/>
      <c r="I13" s="419"/>
      <c r="J13" s="419"/>
      <c r="K13" s="419"/>
      <c r="L13" s="419"/>
      <c r="M13" s="419"/>
      <c r="N13" s="420"/>
    </row>
    <row r="14" spans="1:14" x14ac:dyDescent="0.3">
      <c r="A14" s="111"/>
      <c r="B14" s="12" t="s">
        <v>46</v>
      </c>
      <c r="C14" s="427"/>
      <c r="D14" s="428"/>
      <c r="E14" s="429"/>
      <c r="F14" s="90"/>
      <c r="G14" s="421"/>
      <c r="H14" s="422"/>
      <c r="I14" s="422"/>
      <c r="J14" s="422"/>
      <c r="K14" s="422"/>
      <c r="L14" s="422"/>
      <c r="M14" s="422"/>
      <c r="N14" s="423"/>
    </row>
    <row r="15" spans="1:14" x14ac:dyDescent="0.3">
      <c r="A15" s="111"/>
      <c r="B15" s="12" t="s">
        <v>56</v>
      </c>
      <c r="C15" s="232" t="s">
        <v>95</v>
      </c>
      <c r="D15" s="407" t="s">
        <v>55</v>
      </c>
      <c r="E15" s="408"/>
      <c r="F15" s="90"/>
      <c r="G15" s="421"/>
      <c r="H15" s="422"/>
      <c r="I15" s="422"/>
      <c r="J15" s="422"/>
      <c r="K15" s="422"/>
      <c r="L15" s="422"/>
      <c r="M15" s="422"/>
      <c r="N15" s="423"/>
    </row>
    <row r="16" spans="1:14" x14ac:dyDescent="0.3">
      <c r="A16" s="111"/>
      <c r="B16" s="12" t="s">
        <v>110</v>
      </c>
      <c r="C16" s="256"/>
      <c r="D16" s="407"/>
      <c r="E16" s="408"/>
      <c r="F16" s="90"/>
      <c r="G16" s="421"/>
      <c r="H16" s="422"/>
      <c r="I16" s="422"/>
      <c r="J16" s="422"/>
      <c r="K16" s="422"/>
      <c r="L16" s="422"/>
      <c r="M16" s="422"/>
      <c r="N16" s="423"/>
    </row>
    <row r="17" spans="1:25" x14ac:dyDescent="0.3">
      <c r="A17" s="111"/>
      <c r="B17" s="12" t="s">
        <v>47</v>
      </c>
      <c r="C17" s="428"/>
      <c r="D17" s="441"/>
      <c r="E17" s="442"/>
      <c r="F17" s="90"/>
      <c r="G17" s="421"/>
      <c r="H17" s="422"/>
      <c r="I17" s="422"/>
      <c r="J17" s="422"/>
      <c r="K17" s="422"/>
      <c r="L17" s="422"/>
      <c r="M17" s="422"/>
      <c r="N17" s="423"/>
      <c r="W17" s="187" t="s">
        <v>94</v>
      </c>
      <c r="X17" s="188" t="s">
        <v>95</v>
      </c>
      <c r="Y17" s="188" t="s">
        <v>100</v>
      </c>
    </row>
    <row r="18" spans="1:25" x14ac:dyDescent="0.3">
      <c r="A18" s="111"/>
      <c r="B18" s="12" t="s">
        <v>100</v>
      </c>
      <c r="C18" s="234"/>
      <c r="D18" s="407" t="s">
        <v>55</v>
      </c>
      <c r="E18" s="408"/>
      <c r="F18" s="90"/>
      <c r="G18" s="421"/>
      <c r="H18" s="422"/>
      <c r="I18" s="422"/>
      <c r="J18" s="422"/>
      <c r="K18" s="422"/>
      <c r="L18" s="422"/>
      <c r="M18" s="422"/>
      <c r="N18" s="423"/>
      <c r="W18" s="187">
        <v>2023</v>
      </c>
      <c r="X18" s="188" t="s">
        <v>101</v>
      </c>
      <c r="Y18" s="187" t="str">
        <f>IF($C$15="cogé",X18,W18)</f>
        <v>BGM6</v>
      </c>
    </row>
    <row r="19" spans="1:25" x14ac:dyDescent="0.3">
      <c r="A19" s="111"/>
      <c r="B19" s="12" t="s">
        <v>153</v>
      </c>
      <c r="C19" s="233"/>
      <c r="D19" s="407" t="s">
        <v>55</v>
      </c>
      <c r="E19" s="408"/>
      <c r="F19" s="90"/>
      <c r="G19" s="421"/>
      <c r="H19" s="422"/>
      <c r="I19" s="422"/>
      <c r="J19" s="422"/>
      <c r="K19" s="422"/>
      <c r="L19" s="422"/>
      <c r="M19" s="422"/>
      <c r="N19" s="423"/>
      <c r="W19" s="187">
        <v>2021</v>
      </c>
      <c r="X19" s="188" t="s">
        <v>102</v>
      </c>
      <c r="Y19" s="187" t="str">
        <f>IF($C$15="cogé",X19,W19)</f>
        <v>BG11</v>
      </c>
    </row>
    <row r="20" spans="1:25" x14ac:dyDescent="0.3">
      <c r="A20" s="111"/>
      <c r="B20" s="12" t="s">
        <v>154</v>
      </c>
      <c r="C20" s="234"/>
      <c r="D20" s="407" t="s">
        <v>55</v>
      </c>
      <c r="E20" s="408"/>
      <c r="F20" s="90"/>
      <c r="G20" s="421"/>
      <c r="H20" s="422"/>
      <c r="I20" s="422"/>
      <c r="J20" s="422"/>
      <c r="K20" s="422"/>
      <c r="L20" s="422"/>
      <c r="M20" s="422"/>
      <c r="N20" s="423"/>
      <c r="W20" s="187">
        <v>2011</v>
      </c>
      <c r="X20" s="188" t="s">
        <v>103</v>
      </c>
      <c r="Y20" s="187" t="str">
        <f>IF($C$15="cogé",X20,W20)</f>
        <v>BG16</v>
      </c>
    </row>
    <row r="21" spans="1:25" x14ac:dyDescent="0.3">
      <c r="A21" s="111"/>
      <c r="B21" s="12" t="s">
        <v>53</v>
      </c>
      <c r="C21" s="233"/>
      <c r="D21" s="407" t="s">
        <v>55</v>
      </c>
      <c r="E21" s="408"/>
      <c r="F21" s="90"/>
      <c r="G21" s="421"/>
      <c r="H21" s="422"/>
      <c r="I21" s="422"/>
      <c r="J21" s="422"/>
      <c r="K21" s="422"/>
      <c r="L21" s="422"/>
      <c r="M21" s="422"/>
      <c r="N21" s="423"/>
      <c r="W21" s="187"/>
      <c r="X21" s="188" t="s">
        <v>104</v>
      </c>
      <c r="Y21" s="187" t="str">
        <f>IF($C$15="cogé",X21,"")</f>
        <v>Appel d'offre</v>
      </c>
    </row>
    <row r="22" spans="1:25" x14ac:dyDescent="0.3">
      <c r="A22" s="111"/>
      <c r="B22" s="12" t="s">
        <v>183</v>
      </c>
      <c r="C22" s="235"/>
      <c r="D22" s="257" t="s">
        <v>81</v>
      </c>
      <c r="E22" s="103"/>
      <c r="F22" s="90"/>
      <c r="G22" s="421"/>
      <c r="H22" s="422"/>
      <c r="I22" s="422"/>
      <c r="J22" s="422"/>
      <c r="K22" s="422"/>
      <c r="L22" s="422"/>
      <c r="M22" s="422"/>
      <c r="N22" s="423"/>
      <c r="W22" s="187" t="s">
        <v>99</v>
      </c>
      <c r="X22" s="187" t="s">
        <v>99</v>
      </c>
      <c r="Y22" s="187" t="str">
        <f>IF($C$15="cogé",X22,W22)</f>
        <v>Obligatoire</v>
      </c>
    </row>
    <row r="23" spans="1:25" x14ac:dyDescent="0.3">
      <c r="A23" s="111"/>
      <c r="B23" s="59" t="str">
        <f>+IF($C$15="Cogé","P max cogé à la mise en service","Cmax à la mise en service")</f>
        <v>P max cogé à la mise en service</v>
      </c>
      <c r="C23" s="233"/>
      <c r="D23" s="383" t="str">
        <f>+IF($C$15="Cogé","kwé installé",IF($C$15="Injection","m3 CH4/he","Indiquer valo énergie"))</f>
        <v>kwé installé</v>
      </c>
      <c r="E23" s="384"/>
      <c r="F23" s="90"/>
      <c r="G23" s="421"/>
      <c r="H23" s="422"/>
      <c r="I23" s="422"/>
      <c r="J23" s="422"/>
      <c r="K23" s="422"/>
      <c r="L23" s="422"/>
      <c r="M23" s="422"/>
      <c r="N23" s="423"/>
      <c r="W23" s="187"/>
      <c r="X23" s="188"/>
      <c r="Y23" s="187"/>
    </row>
    <row r="24" spans="1:25" x14ac:dyDescent="0.3">
      <c r="A24" s="111"/>
      <c r="B24" s="59" t="str">
        <f>+IF($C$15="Cogé","P max cogé pour l'année enquêtée","Cmax  contrat pour l'année enquêtée")</f>
        <v>P max cogé pour l'année enquêtée</v>
      </c>
      <c r="C24" s="233"/>
      <c r="D24" s="102" t="str">
        <f>+IF($C$15="Cogé","kwé installé",IF(C15="Injection","m3 CH4/he","indiquer valo énergie"))</f>
        <v>kwé installé</v>
      </c>
      <c r="E24" s="103"/>
      <c r="F24" s="90"/>
      <c r="G24" s="421"/>
      <c r="H24" s="422"/>
      <c r="I24" s="422"/>
      <c r="J24" s="422"/>
      <c r="K24" s="422"/>
      <c r="L24" s="422"/>
      <c r="M24" s="422"/>
      <c r="N24" s="423"/>
      <c r="W24" s="187"/>
      <c r="X24" s="187"/>
      <c r="Y24" s="187"/>
    </row>
    <row r="25" spans="1:25" x14ac:dyDescent="0.3">
      <c r="A25" s="111"/>
      <c r="B25" s="12" t="s">
        <v>98</v>
      </c>
      <c r="C25" s="236"/>
      <c r="D25" s="102" t="s">
        <v>97</v>
      </c>
      <c r="E25" s="103"/>
      <c r="F25" s="91"/>
      <c r="G25" s="421"/>
      <c r="H25" s="422"/>
      <c r="I25" s="422"/>
      <c r="J25" s="422"/>
      <c r="K25" s="422"/>
      <c r="L25" s="422"/>
      <c r="M25" s="422"/>
      <c r="N25" s="423"/>
    </row>
    <row r="26" spans="1:25" x14ac:dyDescent="0.3">
      <c r="A26" s="111"/>
      <c r="B26" s="1" t="s">
        <v>114</v>
      </c>
      <c r="C26" s="235"/>
      <c r="D26" s="102" t="s">
        <v>140</v>
      </c>
      <c r="E26" s="103"/>
      <c r="F26" s="91"/>
      <c r="G26" s="421"/>
      <c r="H26" s="422"/>
      <c r="I26" s="422"/>
      <c r="J26" s="422"/>
      <c r="K26" s="422"/>
      <c r="L26" s="422"/>
      <c r="M26" s="422"/>
      <c r="N26" s="423"/>
    </row>
    <row r="27" spans="1:25" x14ac:dyDescent="0.3">
      <c r="A27" s="111"/>
      <c r="B27" s="12" t="s">
        <v>184</v>
      </c>
      <c r="C27" s="237"/>
      <c r="D27" s="102" t="s">
        <v>9</v>
      </c>
      <c r="E27" s="103"/>
      <c r="F27" s="91"/>
      <c r="G27" s="421"/>
      <c r="H27" s="422"/>
      <c r="I27" s="422"/>
      <c r="J27" s="422"/>
      <c r="K27" s="422"/>
      <c r="L27" s="422"/>
      <c r="M27" s="422"/>
      <c r="N27" s="423"/>
    </row>
    <row r="28" spans="1:25" x14ac:dyDescent="0.3">
      <c r="A28" s="111"/>
      <c r="B28" s="12" t="s">
        <v>10</v>
      </c>
      <c r="C28" s="237"/>
      <c r="D28" s="102" t="s">
        <v>83</v>
      </c>
      <c r="E28" s="103"/>
      <c r="F28" s="91"/>
      <c r="G28" s="421"/>
      <c r="H28" s="422"/>
      <c r="I28" s="422"/>
      <c r="J28" s="422"/>
      <c r="K28" s="422"/>
      <c r="L28" s="422"/>
      <c r="M28" s="422"/>
      <c r="N28" s="423"/>
    </row>
    <row r="29" spans="1:25" x14ac:dyDescent="0.3">
      <c r="A29" s="111"/>
      <c r="B29" s="12" t="s">
        <v>185</v>
      </c>
      <c r="C29" s="237"/>
      <c r="D29" s="102" t="s">
        <v>9</v>
      </c>
      <c r="E29" s="103"/>
      <c r="F29" s="91"/>
      <c r="G29" s="421"/>
      <c r="H29" s="422"/>
      <c r="I29" s="422"/>
      <c r="J29" s="422"/>
      <c r="K29" s="422"/>
      <c r="L29" s="422"/>
      <c r="M29" s="422"/>
      <c r="N29" s="423"/>
    </row>
    <row r="30" spans="1:25" ht="16.2" thickBot="1" x14ac:dyDescent="0.35">
      <c r="A30" s="189"/>
      <c r="B30" s="74" t="s">
        <v>196</v>
      </c>
      <c r="C30" s="238"/>
      <c r="D30" s="430" t="s">
        <v>9</v>
      </c>
      <c r="E30" s="431"/>
      <c r="F30" s="91"/>
      <c r="G30" s="424"/>
      <c r="H30" s="425"/>
      <c r="I30" s="425"/>
      <c r="J30" s="425"/>
      <c r="K30" s="425"/>
      <c r="L30" s="425"/>
      <c r="M30" s="425"/>
      <c r="N30" s="426"/>
    </row>
    <row r="31" spans="1:25" ht="5.25" customHeight="1" thickBot="1" x14ac:dyDescent="0.35">
      <c r="F31" s="90"/>
      <c r="G31" s="285" t="s">
        <v>225</v>
      </c>
      <c r="H31" s="75"/>
      <c r="I31" s="75"/>
      <c r="J31" s="75"/>
      <c r="K31" s="75"/>
      <c r="L31" s="75"/>
      <c r="M31" s="75"/>
      <c r="N31" s="75"/>
    </row>
    <row r="32" spans="1:25" x14ac:dyDescent="0.3">
      <c r="A32" s="416" t="s">
        <v>178</v>
      </c>
      <c r="B32" s="417"/>
      <c r="C32" s="46"/>
      <c r="D32" s="347" t="s">
        <v>24</v>
      </c>
      <c r="E32" s="348"/>
      <c r="F32" s="443"/>
      <c r="G32" s="40" t="s">
        <v>58</v>
      </c>
      <c r="H32" s="41"/>
      <c r="I32" s="41"/>
      <c r="J32" s="41"/>
      <c r="K32" s="42"/>
      <c r="L32" s="42"/>
      <c r="M32" s="42"/>
      <c r="N32" s="42"/>
    </row>
    <row r="33" spans="1:31" ht="16.2" thickBot="1" x14ac:dyDescent="0.35">
      <c r="A33" s="47"/>
      <c r="B33" s="76" t="s">
        <v>54</v>
      </c>
      <c r="C33" s="239" t="s">
        <v>229</v>
      </c>
      <c r="D33" s="407" t="s">
        <v>55</v>
      </c>
      <c r="E33" s="408"/>
      <c r="F33" s="443"/>
      <c r="G33" s="6"/>
      <c r="H33" s="6"/>
      <c r="I33" s="6"/>
      <c r="J33" s="6"/>
      <c r="K33" s="6"/>
      <c r="L33" s="6"/>
      <c r="M33" s="6"/>
      <c r="N33" s="6"/>
    </row>
    <row r="34" spans="1:31" x14ac:dyDescent="0.3">
      <c r="A34" s="47"/>
      <c r="B34" s="37" t="s">
        <v>113</v>
      </c>
      <c r="C34" s="240"/>
      <c r="D34" s="366" t="s">
        <v>25</v>
      </c>
      <c r="E34" s="367"/>
      <c r="F34" s="443"/>
      <c r="G34" s="396"/>
      <c r="H34" s="397"/>
      <c r="I34" s="398"/>
      <c r="J34" s="7"/>
    </row>
    <row r="35" spans="1:31" x14ac:dyDescent="0.3">
      <c r="A35" s="48"/>
      <c r="B35" s="13" t="s">
        <v>143</v>
      </c>
      <c r="C35" s="240"/>
      <c r="D35" s="366" t="s">
        <v>25</v>
      </c>
      <c r="E35" s="367"/>
      <c r="F35" s="443"/>
      <c r="G35" s="84" t="str">
        <f t="shared" ref="G35:G42" si="0">B35</f>
        <v>Ingénierie/étude</v>
      </c>
      <c r="H35" s="77"/>
      <c r="I35" s="88" t="e">
        <f t="shared" ref="I35:I44" si="1">C35/$C$45</f>
        <v>#DIV/0!</v>
      </c>
      <c r="J35" s="7"/>
    </row>
    <row r="36" spans="1:31" x14ac:dyDescent="0.3">
      <c r="A36" s="48"/>
      <c r="B36" s="13" t="s">
        <v>173</v>
      </c>
      <c r="C36" s="240"/>
      <c r="D36" s="366" t="s">
        <v>25</v>
      </c>
      <c r="E36" s="367"/>
      <c r="F36" s="443"/>
      <c r="G36" s="86" t="str">
        <f t="shared" si="0"/>
        <v>Raccordement aux différents réseaux</v>
      </c>
      <c r="H36" s="87"/>
      <c r="I36" s="88" t="e">
        <f t="shared" si="1"/>
        <v>#DIV/0!</v>
      </c>
      <c r="J36" s="7"/>
    </row>
    <row r="37" spans="1:31" x14ac:dyDescent="0.3">
      <c r="A37" s="48"/>
      <c r="B37" s="13" t="s">
        <v>1</v>
      </c>
      <c r="C37" s="240"/>
      <c r="D37" s="366" t="s">
        <v>25</v>
      </c>
      <c r="E37" s="367"/>
      <c r="F37" s="443"/>
      <c r="G37" s="86" t="str">
        <f t="shared" si="0"/>
        <v>Aménagement du site</v>
      </c>
      <c r="H37" s="87"/>
      <c r="I37" s="88" t="e">
        <f t="shared" si="1"/>
        <v>#DIV/0!</v>
      </c>
      <c r="J37" s="7"/>
    </row>
    <row r="38" spans="1:31" x14ac:dyDescent="0.3">
      <c r="A38" s="48"/>
      <c r="B38" s="13" t="s">
        <v>111</v>
      </c>
      <c r="C38" s="240"/>
      <c r="D38" s="366" t="s">
        <v>25</v>
      </c>
      <c r="E38" s="367"/>
      <c r="F38" s="443"/>
      <c r="G38" s="86" t="str">
        <f t="shared" si="0"/>
        <v>Stockage, réception et incorpo des entrants</v>
      </c>
      <c r="H38" s="87"/>
      <c r="I38" s="88" t="e">
        <f t="shared" si="1"/>
        <v>#DIV/0!</v>
      </c>
      <c r="J38" s="7"/>
    </row>
    <row r="39" spans="1:31" x14ac:dyDescent="0.3">
      <c r="A39" s="48"/>
      <c r="B39" s="13" t="s">
        <v>15</v>
      </c>
      <c r="C39" s="240"/>
      <c r="D39" s="366" t="s">
        <v>25</v>
      </c>
      <c r="E39" s="367"/>
      <c r="F39" s="443"/>
      <c r="G39" s="86" t="str">
        <f t="shared" si="0"/>
        <v>Ouvrages de digestion</v>
      </c>
      <c r="H39" s="87"/>
      <c r="I39" s="88" t="e">
        <f t="shared" si="1"/>
        <v>#DIV/0!</v>
      </c>
      <c r="J39" s="7"/>
    </row>
    <row r="40" spans="1:31" x14ac:dyDescent="0.3">
      <c r="A40" s="48"/>
      <c r="B40" s="13" t="str">
        <f>IF($C$15="cogé","Cogénérateur et équipements annexes","Epuration et équipements annexes")</f>
        <v>Cogénérateur et équipements annexes</v>
      </c>
      <c r="C40" s="240"/>
      <c r="D40" s="366" t="s">
        <v>25</v>
      </c>
      <c r="E40" s="367"/>
      <c r="F40" s="443"/>
      <c r="G40" s="86" t="str">
        <f t="shared" si="0"/>
        <v>Cogénérateur et équipements annexes</v>
      </c>
      <c r="H40" s="87"/>
      <c r="I40" s="88" t="e">
        <f t="shared" si="1"/>
        <v>#DIV/0!</v>
      </c>
      <c r="J40" s="7"/>
    </row>
    <row r="41" spans="1:31" x14ac:dyDescent="0.3">
      <c r="A41" s="48"/>
      <c r="B41" s="268" t="str">
        <f>IF($C$15="cogé","Valo chaleur : réseau de chaleur, séchoir...","Station GNV, BioCO2")</f>
        <v>Valo chaleur : réseau de chaleur, séchoir...</v>
      </c>
      <c r="C41" s="240"/>
      <c r="D41" s="366" t="s">
        <v>25</v>
      </c>
      <c r="E41" s="367"/>
      <c r="F41" s="443"/>
      <c r="G41" s="86" t="str">
        <f t="shared" si="0"/>
        <v>Valo chaleur : réseau de chaleur, séchoir...</v>
      </c>
      <c r="H41" s="87"/>
      <c r="I41" s="88" t="e">
        <f t="shared" si="1"/>
        <v>#DIV/0!</v>
      </c>
      <c r="J41" s="7"/>
    </row>
    <row r="42" spans="1:31" x14ac:dyDescent="0.3">
      <c r="A42" s="48"/>
      <c r="B42" s="13" t="s">
        <v>112</v>
      </c>
      <c r="C42" s="240"/>
      <c r="D42" s="366" t="s">
        <v>25</v>
      </c>
      <c r="E42" s="367"/>
      <c r="F42" s="443"/>
      <c r="G42" s="86" t="str">
        <f t="shared" si="0"/>
        <v>Stockage digestat et séparation de phase</v>
      </c>
      <c r="H42" s="87"/>
      <c r="I42" s="88" t="e">
        <f t="shared" si="1"/>
        <v>#DIV/0!</v>
      </c>
      <c r="J42" s="7"/>
    </row>
    <row r="43" spans="1:31" ht="31.2" x14ac:dyDescent="0.3">
      <c r="A43" s="48"/>
      <c r="B43" s="270" t="str">
        <f>IF($C$15="cogé","Activité annexe (déconditionnement, station GNV si même société que métha...)","Activité annexe (déconditionnement...)")</f>
        <v>Activité annexe (déconditionnement, station GNV si même société que métha...)</v>
      </c>
      <c r="C43" s="267"/>
      <c r="D43" s="366" t="s">
        <v>25</v>
      </c>
      <c r="E43" s="367"/>
      <c r="F43" s="443"/>
      <c r="G43" s="86" t="str">
        <f>+B43</f>
        <v>Activité annexe (déconditionnement, station GNV si même société que métha...)</v>
      </c>
      <c r="H43" s="87"/>
      <c r="I43" s="88" t="e">
        <f t="shared" si="1"/>
        <v>#DIV/0!</v>
      </c>
      <c r="J43" s="7"/>
    </row>
    <row r="44" spans="1:31" ht="16.2" thickBot="1" x14ac:dyDescent="0.35">
      <c r="A44" s="108"/>
      <c r="B44" s="241" t="s">
        <v>179</v>
      </c>
      <c r="C44" s="240"/>
      <c r="D44" s="366" t="s">
        <v>25</v>
      </c>
      <c r="E44" s="367"/>
      <c r="F44" s="443"/>
      <c r="G44" s="399" t="str">
        <f>+B44</f>
        <v xml:space="preserve">Autre, Préciser : </v>
      </c>
      <c r="H44" s="400"/>
      <c r="I44" s="89" t="e">
        <f t="shared" si="1"/>
        <v>#DIV/0!</v>
      </c>
      <c r="J44" s="7"/>
    </row>
    <row r="45" spans="1:31" s="5" customFormat="1" ht="16.2" thickBot="1" x14ac:dyDescent="0.35">
      <c r="A45" s="49"/>
      <c r="B45" s="14" t="s">
        <v>26</v>
      </c>
      <c r="C45" s="131">
        <f>IF(SUM(C35:C44)=0,C34,IF(SUM(C35:C44)=C34,C34,"répartion à revoir"))</f>
        <v>0</v>
      </c>
      <c r="D45" s="100"/>
      <c r="E45" s="101"/>
      <c r="F45" s="443"/>
      <c r="J45" s="7"/>
      <c r="K45" s="7"/>
      <c r="L45" s="7"/>
      <c r="M45" s="7"/>
      <c r="N45" s="7"/>
      <c r="O45"/>
      <c r="P45"/>
      <c r="Q45"/>
      <c r="R45"/>
      <c r="S45"/>
      <c r="T45"/>
      <c r="U45"/>
      <c r="Z45"/>
      <c r="AA45"/>
      <c r="AB45"/>
      <c r="AC45"/>
      <c r="AD45"/>
      <c r="AE45"/>
    </row>
    <row r="46" spans="1:31" s="5" customFormat="1" ht="4.95" customHeight="1" thickBot="1" x14ac:dyDescent="0.35">
      <c r="F46" s="105"/>
      <c r="G46" s="129"/>
      <c r="H46" s="69" t="s">
        <v>118</v>
      </c>
      <c r="I46" s="129" t="str">
        <f>IF(C15="Cogé","Réinvest moteur","Augmentation Cmax")</f>
        <v>Réinvest moteur</v>
      </c>
      <c r="J46" s="129" t="s">
        <v>116</v>
      </c>
      <c r="K46" s="129" t="s">
        <v>209</v>
      </c>
      <c r="L46" s="7"/>
      <c r="M46" s="7"/>
      <c r="N46" s="7"/>
      <c r="O46"/>
      <c r="P46"/>
      <c r="Q46"/>
      <c r="R46"/>
      <c r="S46"/>
      <c r="T46"/>
      <c r="U46"/>
      <c r="Z46"/>
      <c r="AA46"/>
      <c r="AB46"/>
      <c r="AC46"/>
      <c r="AD46"/>
      <c r="AE46"/>
    </row>
    <row r="47" spans="1:31" s="5" customFormat="1" x14ac:dyDescent="0.3">
      <c r="A47" s="109" t="s">
        <v>109</v>
      </c>
      <c r="B47" s="110"/>
      <c r="C47" s="123"/>
      <c r="D47" s="347" t="s">
        <v>24</v>
      </c>
      <c r="E47" s="348"/>
      <c r="F47" s="105"/>
      <c r="G47" s="69" t="s">
        <v>117</v>
      </c>
      <c r="H47" s="130">
        <f>+C45</f>
        <v>0</v>
      </c>
      <c r="I47" s="124"/>
      <c r="J47" s="124"/>
      <c r="K47" s="271"/>
      <c r="L47" s="7"/>
      <c r="M47" s="7"/>
      <c r="N47" s="7"/>
      <c r="O47"/>
      <c r="P47"/>
      <c r="Q47"/>
      <c r="R47"/>
      <c r="S47"/>
      <c r="T47"/>
      <c r="U47"/>
      <c r="Z47"/>
      <c r="AA47"/>
      <c r="AB47"/>
      <c r="AC47"/>
      <c r="AD47"/>
      <c r="AE47"/>
    </row>
    <row r="48" spans="1:31" s="5" customFormat="1" x14ac:dyDescent="0.3">
      <c r="A48" s="111"/>
      <c r="B48" s="13" t="str">
        <f>+IF($C$15="cogé","Réinvestissement / renouvellement moteur","Réinvest augmentation Cmax")</f>
        <v>Réinvestissement / renouvellement moteur</v>
      </c>
      <c r="C48" s="242"/>
      <c r="D48" s="366" t="s">
        <v>25</v>
      </c>
      <c r="E48" s="367"/>
      <c r="F48" s="105"/>
      <c r="G48" s="12" t="s">
        <v>119</v>
      </c>
      <c r="H48" s="124"/>
      <c r="I48" s="130">
        <f>+C48</f>
        <v>0</v>
      </c>
      <c r="J48" s="130">
        <f>+C49</f>
        <v>0</v>
      </c>
      <c r="K48" s="130">
        <f>C50+C51</f>
        <v>0</v>
      </c>
      <c r="L48" s="7"/>
      <c r="M48" s="7"/>
      <c r="N48" s="7"/>
      <c r="O48"/>
      <c r="P48"/>
      <c r="Q48"/>
      <c r="R48"/>
      <c r="S48"/>
      <c r="T48"/>
      <c r="U48"/>
      <c r="Z48"/>
      <c r="AA48"/>
      <c r="AB48"/>
      <c r="AC48"/>
      <c r="AD48"/>
      <c r="AE48"/>
    </row>
    <row r="49" spans="1:31" s="5" customFormat="1" x14ac:dyDescent="0.3">
      <c r="A49" s="111"/>
      <c r="B49" s="13" t="s">
        <v>108</v>
      </c>
      <c r="C49" s="242"/>
      <c r="D49" s="366" t="s">
        <v>25</v>
      </c>
      <c r="E49" s="367"/>
      <c r="F49" s="105"/>
      <c r="J49" s="7"/>
      <c r="K49" s="7"/>
      <c r="L49" s="7"/>
      <c r="M49" s="7"/>
      <c r="N49" s="7"/>
      <c r="O49"/>
      <c r="P49"/>
      <c r="Q49"/>
      <c r="R49"/>
      <c r="S49"/>
      <c r="T49"/>
      <c r="U49"/>
      <c r="Z49"/>
      <c r="AA49"/>
      <c r="AB49"/>
      <c r="AC49"/>
      <c r="AD49"/>
      <c r="AE49"/>
    </row>
    <row r="50" spans="1:31" s="5" customFormat="1" x14ac:dyDescent="0.3">
      <c r="A50" s="111"/>
      <c r="B50" s="13" t="s">
        <v>210</v>
      </c>
      <c r="C50" s="242"/>
      <c r="D50" s="366" t="s">
        <v>25</v>
      </c>
      <c r="E50" s="367"/>
      <c r="F50" s="105"/>
      <c r="J50" s="7"/>
      <c r="K50" s="7"/>
      <c r="L50" s="7"/>
      <c r="M50" s="7"/>
      <c r="N50" s="7"/>
      <c r="O50"/>
      <c r="P50"/>
      <c r="Q50"/>
      <c r="R50"/>
      <c r="S50"/>
      <c r="T50"/>
      <c r="U50"/>
      <c r="Z50"/>
      <c r="AA50"/>
      <c r="AB50"/>
      <c r="AC50"/>
      <c r="AD50"/>
      <c r="AE50"/>
    </row>
    <row r="51" spans="1:31" s="5" customFormat="1" x14ac:dyDescent="0.3">
      <c r="A51" s="48"/>
      <c r="B51" s="12" t="s">
        <v>211</v>
      </c>
      <c r="C51" s="242"/>
      <c r="D51" s="392" t="s">
        <v>25</v>
      </c>
      <c r="E51" s="393"/>
      <c r="F51" s="105"/>
      <c r="J51" s="7"/>
      <c r="K51" s="7"/>
      <c r="L51" s="7"/>
      <c r="M51" s="7"/>
      <c r="N51" s="7"/>
      <c r="Z51"/>
      <c r="AA51"/>
      <c r="AB51"/>
      <c r="AC51"/>
      <c r="AD51"/>
      <c r="AE51"/>
    </row>
    <row r="52" spans="1:31" s="5" customFormat="1" ht="16.2" thickBot="1" x14ac:dyDescent="0.35">
      <c r="A52" s="65"/>
      <c r="B52" s="112" t="s">
        <v>120</v>
      </c>
      <c r="C52" s="136">
        <f>SUM(C48:C51)</f>
        <v>0</v>
      </c>
      <c r="D52" s="394" t="s">
        <v>25</v>
      </c>
      <c r="E52" s="395"/>
      <c r="F52" s="105"/>
      <c r="G52" s="106"/>
      <c r="I52" s="107"/>
      <c r="J52" s="7"/>
      <c r="K52" s="7"/>
      <c r="L52" s="7"/>
      <c r="M52" s="7"/>
      <c r="N52" s="7"/>
      <c r="Z52"/>
      <c r="AA52"/>
      <c r="AB52"/>
      <c r="AC52"/>
      <c r="AD52"/>
      <c r="AE52"/>
    </row>
    <row r="53" spans="1:31" ht="12.75" customHeight="1" thickBot="1" x14ac:dyDescent="0.35">
      <c r="C53" s="2"/>
      <c r="D53" s="2"/>
      <c r="E53" s="31"/>
      <c r="F53" s="92"/>
      <c r="Z53" s="5"/>
      <c r="AA53" s="5"/>
      <c r="AB53" s="5"/>
      <c r="AC53" s="5"/>
      <c r="AD53" s="5"/>
      <c r="AE53" s="5"/>
    </row>
    <row r="54" spans="1:31" x14ac:dyDescent="0.3">
      <c r="A54" s="70" t="s">
        <v>2</v>
      </c>
      <c r="B54" s="71"/>
      <c r="C54" s="50"/>
      <c r="D54" s="347" t="s">
        <v>24</v>
      </c>
      <c r="E54" s="348"/>
      <c r="F54" s="92"/>
      <c r="G54" s="45" t="s">
        <v>45</v>
      </c>
      <c r="H54" s="43"/>
      <c r="I54" s="43"/>
      <c r="J54" s="43"/>
      <c r="K54" s="44"/>
      <c r="L54" s="44"/>
      <c r="M54" s="44"/>
      <c r="N54" s="42"/>
    </row>
    <row r="55" spans="1:31" x14ac:dyDescent="0.3">
      <c r="A55" s="48"/>
      <c r="B55" s="13" t="s">
        <v>11</v>
      </c>
      <c r="C55" s="258"/>
      <c r="D55" s="366" t="s">
        <v>25</v>
      </c>
      <c r="E55" s="367"/>
      <c r="F55" s="92"/>
      <c r="G55" s="132"/>
      <c r="H55" s="389" t="s">
        <v>118</v>
      </c>
      <c r="I55" s="389"/>
      <c r="J55" s="389" t="s">
        <v>122</v>
      </c>
      <c r="K55" s="389"/>
      <c r="L55" s="390" t="s">
        <v>24</v>
      </c>
      <c r="M55" s="390"/>
      <c r="N55" s="390"/>
    </row>
    <row r="56" spans="1:31" x14ac:dyDescent="0.3">
      <c r="A56" s="48"/>
      <c r="B56" s="13" t="s">
        <v>12</v>
      </c>
      <c r="C56" s="258"/>
      <c r="D56" s="366" t="s">
        <v>25</v>
      </c>
      <c r="E56" s="367"/>
      <c r="F56" s="92"/>
      <c r="G56" s="133" t="s">
        <v>29</v>
      </c>
      <c r="H56" s="391" t="e">
        <f>C58/C45</f>
        <v>#DIV/0!</v>
      </c>
      <c r="I56" s="391"/>
      <c r="J56" s="391" t="e">
        <f>C58/(C45+C52)</f>
        <v>#DIV/0!</v>
      </c>
      <c r="K56" s="391"/>
      <c r="L56" s="386" t="s">
        <v>57</v>
      </c>
      <c r="M56" s="386"/>
      <c r="N56" s="386"/>
    </row>
    <row r="57" spans="1:31" x14ac:dyDescent="0.3">
      <c r="A57" s="48"/>
      <c r="B57" s="241" t="s">
        <v>179</v>
      </c>
      <c r="C57" s="258"/>
      <c r="D57" s="366" t="s">
        <v>25</v>
      </c>
      <c r="E57" s="367"/>
      <c r="F57" s="92"/>
      <c r="G57" s="133" t="s">
        <v>27</v>
      </c>
      <c r="H57" s="385" t="e">
        <f>(C45)/C24</f>
        <v>#DIV/0!</v>
      </c>
      <c r="I57" s="385"/>
      <c r="J57" s="385" t="e">
        <f>(C45+C52)/C24</f>
        <v>#DIV/0!</v>
      </c>
      <c r="K57" s="385"/>
      <c r="L57" s="386" t="str">
        <f>+IF($C$15="Cogé","€/kwé installé",IF(C15="Injection","€/nm3 installé"))</f>
        <v>€/kwé installé</v>
      </c>
      <c r="M57" s="386"/>
      <c r="N57" s="386"/>
    </row>
    <row r="58" spans="1:31" s="5" customFormat="1" ht="16.2" thickBot="1" x14ac:dyDescent="0.35">
      <c r="A58" s="65"/>
      <c r="B58" s="14" t="s">
        <v>13</v>
      </c>
      <c r="C58" s="38">
        <f>SUM(C55:C57)</f>
        <v>0</v>
      </c>
      <c r="D58" s="387" t="s">
        <v>25</v>
      </c>
      <c r="E58" s="388"/>
      <c r="F58" s="92"/>
      <c r="G58" s="133" t="s">
        <v>28</v>
      </c>
      <c r="H58" s="385" t="e">
        <f>(C45-C58)/C24</f>
        <v>#DIV/0!</v>
      </c>
      <c r="I58" s="385"/>
      <c r="J58" s="385" t="e">
        <f>(C45+C52-C58)/C24</f>
        <v>#DIV/0!</v>
      </c>
      <c r="K58" s="385"/>
      <c r="L58" s="386" t="str">
        <f>+IF($C$15="Cogé","€/kwé installé",IF(C15="Injection","€/nm3 installé"))</f>
        <v>€/kwé installé</v>
      </c>
      <c r="M58" s="386"/>
      <c r="N58" s="386"/>
      <c r="Y58"/>
      <c r="Z58"/>
      <c r="AA58"/>
      <c r="AB58"/>
      <c r="AC58"/>
      <c r="AD58"/>
    </row>
    <row r="59" spans="1:31" ht="9" customHeight="1" thickBot="1" x14ac:dyDescent="0.35">
      <c r="C59" s="2"/>
      <c r="D59" s="2"/>
      <c r="F59" s="92"/>
      <c r="G59" s="5"/>
      <c r="H59" s="34"/>
      <c r="I59" s="5"/>
      <c r="J59" s="5"/>
      <c r="K59" s="5"/>
      <c r="N59" s="9"/>
      <c r="Z59" s="5"/>
      <c r="AA59" s="5"/>
      <c r="AB59" s="5"/>
      <c r="AC59" s="5"/>
      <c r="AD59" s="5"/>
      <c r="AE59" s="5"/>
    </row>
    <row r="60" spans="1:31" x14ac:dyDescent="0.3">
      <c r="A60" s="381" t="s">
        <v>3</v>
      </c>
      <c r="B60" s="382"/>
      <c r="C60" s="382"/>
      <c r="D60" s="347" t="s">
        <v>24</v>
      </c>
      <c r="E60" s="348"/>
      <c r="F60" s="92"/>
      <c r="G60" s="45" t="s">
        <v>220</v>
      </c>
      <c r="H60" s="43"/>
      <c r="I60" s="43"/>
      <c r="J60" s="43"/>
      <c r="K60" s="44"/>
      <c r="L60" s="44"/>
      <c r="M60" s="44"/>
      <c r="N60" s="42"/>
    </row>
    <row r="61" spans="1:31" x14ac:dyDescent="0.3">
      <c r="A61" s="111"/>
      <c r="B61" s="12" t="str">
        <f>+IF($C$15="Cogé","Nombre d'heures de fonctionnement sur l'année","Nombre d'heures fonctionnement poste inject")</f>
        <v>Nombre d'heures de fonctionnement sur l'année</v>
      </c>
      <c r="C61" s="233"/>
      <c r="D61" s="102" t="s">
        <v>140</v>
      </c>
      <c r="E61" s="103"/>
      <c r="F61" s="92"/>
      <c r="G61" s="194"/>
      <c r="H61" s="195"/>
      <c r="I61" s="195"/>
      <c r="J61" s="195"/>
      <c r="K61" s="196"/>
      <c r="L61" s="196"/>
      <c r="M61" s="196"/>
      <c r="N61" s="197"/>
    </row>
    <row r="62" spans="1:31" s="17" customFormat="1" x14ac:dyDescent="0.3">
      <c r="A62" s="190"/>
      <c r="B62" s="12" t="str">
        <f>IF(C15="cogé","MWH élec vendus/an (Voir 12 factures de vente)","MWH injec vendus/an (Voir 12 factures de vente)")</f>
        <v>MWH élec vendus/an (Voir 12 factures de vente)</v>
      </c>
      <c r="C62" s="243"/>
      <c r="D62" s="383" t="s">
        <v>48</v>
      </c>
      <c r="E62" s="384"/>
      <c r="F62" s="92"/>
      <c r="G62" s="39" t="s">
        <v>30</v>
      </c>
      <c r="H62" s="53"/>
      <c r="I62" s="51">
        <f>C61/(365*24)</f>
        <v>0</v>
      </c>
      <c r="J62" s="39" t="str">
        <f>+IF($C$15="Cogé","Heure de fonctionnement cogé /heure max de l'année",IF($C$15="Injection","Heure de fonctionnement épurateur/heure max de l'année"))</f>
        <v>Heure de fonctionnement cogé /heure max de l'année</v>
      </c>
      <c r="K62" s="54"/>
      <c r="L62" s="39"/>
      <c r="M62" s="39"/>
      <c r="N62" s="39"/>
      <c r="Z62"/>
      <c r="AA62"/>
      <c r="AB62"/>
      <c r="AC62"/>
      <c r="AD62"/>
      <c r="AE62"/>
    </row>
    <row r="63" spans="1:31" x14ac:dyDescent="0.3">
      <c r="A63" s="190"/>
      <c r="B63" s="52" t="str">
        <f>IF(C15="cogé","Tarif de rachat élect (Moy des 12 mois)","Tarif de rachat inject (Moy des 12 mois hors GO)")</f>
        <v>Tarif de rachat élect (Moy des 12 mois)</v>
      </c>
      <c r="C63" s="244"/>
      <c r="D63" s="383" t="s">
        <v>49</v>
      </c>
      <c r="E63" s="384"/>
      <c r="F63" s="92"/>
      <c r="G63" s="39" t="s">
        <v>31</v>
      </c>
      <c r="H63" s="55"/>
      <c r="I63" s="51" t="e">
        <f>IF(C15="cogé",C62/(C24*365*24/1000),C62/(C24*10.7*365*24/1000))</f>
        <v>#DIV/0!</v>
      </c>
      <c r="J63" s="39" t="s">
        <v>32</v>
      </c>
      <c r="K63" s="54"/>
      <c r="L63" s="39"/>
      <c r="M63" s="39"/>
      <c r="N63" s="39"/>
      <c r="Z63" s="17"/>
      <c r="AA63" s="17"/>
      <c r="AB63" s="17"/>
      <c r="AC63" s="17"/>
      <c r="AD63" s="17"/>
      <c r="AE63" s="17"/>
    </row>
    <row r="64" spans="1:31" x14ac:dyDescent="0.3">
      <c r="A64" s="190"/>
      <c r="B64" s="59" t="str">
        <f>IF(C15="cogé","MWH valorisée en chaleur hors chauffage ou hygié","MWH méthane valorisé hors inj et chaudière (GNV…)")</f>
        <v>MWH valorisée en chaleur hors chauffage ou hygié</v>
      </c>
      <c r="C64" s="242"/>
      <c r="D64" s="383" t="s">
        <v>48</v>
      </c>
      <c r="E64" s="384"/>
      <c r="F64" s="92"/>
    </row>
    <row r="65" spans="1:14" ht="16.2" thickBot="1" x14ac:dyDescent="0.35">
      <c r="A65" s="190"/>
      <c r="B65" s="269" t="str">
        <f>IF(C15="cogé","Tarif de vente (chaleur)","Tarif de vente (GNV ou autre valo hors injé)")</f>
        <v>Tarif de vente (chaleur)</v>
      </c>
      <c r="C65" s="242"/>
      <c r="D65" s="383" t="s">
        <v>49</v>
      </c>
      <c r="E65" s="384"/>
      <c r="F65" s="92"/>
      <c r="G65" s="45" t="s">
        <v>33</v>
      </c>
      <c r="H65" s="43"/>
      <c r="I65" s="42"/>
      <c r="J65" s="42"/>
      <c r="K65" s="42"/>
      <c r="L65" s="42"/>
      <c r="M65" s="42"/>
      <c r="N65" s="42"/>
    </row>
    <row r="66" spans="1:14" x14ac:dyDescent="0.3">
      <c r="A66" s="190"/>
      <c r="B66" s="59" t="s">
        <v>186</v>
      </c>
      <c r="C66" s="122">
        <f>C62*C63+C65*C64</f>
        <v>0</v>
      </c>
      <c r="D66" s="366" t="s">
        <v>25</v>
      </c>
      <c r="E66" s="367"/>
      <c r="F66" s="92"/>
      <c r="G66" s="377" t="str">
        <f>IF(C15="cogé","Electricité","Biométhane")</f>
        <v>Electricité</v>
      </c>
      <c r="H66" s="378"/>
      <c r="I66" s="378"/>
      <c r="J66" s="287" t="e">
        <f>C67/$C$75</f>
        <v>#DIV/0!</v>
      </c>
    </row>
    <row r="67" spans="1:14" ht="16.5" customHeight="1" x14ac:dyDescent="0.3">
      <c r="A67" s="190"/>
      <c r="B67" s="59" t="str">
        <f>IF(C15="cogé","Vente élect : sommes des 12 factures","Vente biométhane (somme 12 factures hors GO)")</f>
        <v>Vente élect : sommes des 12 factures</v>
      </c>
      <c r="C67" s="245"/>
      <c r="D67" s="366" t="s">
        <v>25</v>
      </c>
      <c r="E67" s="367"/>
      <c r="F67" s="92"/>
      <c r="G67" s="375" t="str">
        <f>IF(C15="cogé","Vente chaleur","Valo GNV ou  autre valo CH4")</f>
        <v>Vente chaleur</v>
      </c>
      <c r="H67" s="376"/>
      <c r="I67" s="376"/>
      <c r="J67" s="288" t="e">
        <f>C68/$C$75</f>
        <v>#DIV/0!</v>
      </c>
    </row>
    <row r="68" spans="1:14" x14ac:dyDescent="0.3">
      <c r="A68" s="190"/>
      <c r="B68" s="59" t="str">
        <f>IF(C15="cogé","Vente chaleur","Vente GNV ou autre valo biométhane")</f>
        <v>Vente chaleur</v>
      </c>
      <c r="C68" s="245"/>
      <c r="D68" s="366" t="s">
        <v>25</v>
      </c>
      <c r="E68" s="367"/>
      <c r="F68" s="92"/>
      <c r="G68" s="379" t="str">
        <f>IF($C$15="cogé","Valo bioGNV","Garantie origine")</f>
        <v>Valo bioGNV</v>
      </c>
      <c r="H68" s="380"/>
      <c r="I68" s="380"/>
      <c r="J68" s="288" t="e">
        <f>C69/$C$75</f>
        <v>#DIV/0!</v>
      </c>
    </row>
    <row r="69" spans="1:14" x14ac:dyDescent="0.3">
      <c r="A69" s="190"/>
      <c r="B69" s="59" t="str">
        <f>IF($C$15="cogé","Vente gaz pour valo bioGNV","Valeur GO")</f>
        <v>Vente gaz pour valo bioGNV</v>
      </c>
      <c r="C69" s="245"/>
      <c r="D69" s="366" t="s">
        <v>25</v>
      </c>
      <c r="E69" s="367"/>
      <c r="F69" s="92"/>
      <c r="G69" s="375" t="s">
        <v>65</v>
      </c>
      <c r="H69" s="376"/>
      <c r="I69" s="376"/>
      <c r="J69" s="288" t="e">
        <f>C71/$C$75</f>
        <v>#DIV/0!</v>
      </c>
    </row>
    <row r="70" spans="1:14" x14ac:dyDescent="0.3">
      <c r="A70" s="190"/>
      <c r="B70" s="138" t="s">
        <v>60</v>
      </c>
      <c r="C70" s="122">
        <f>SUM(C67:C69)</f>
        <v>0</v>
      </c>
      <c r="D70" s="366" t="s">
        <v>25</v>
      </c>
      <c r="E70" s="367"/>
      <c r="F70" s="92"/>
      <c r="G70" s="375" t="s">
        <v>59</v>
      </c>
      <c r="H70" s="376"/>
      <c r="I70" s="376"/>
      <c r="J70" s="288" t="e">
        <f>C72/$C$75</f>
        <v>#DIV/0!</v>
      </c>
    </row>
    <row r="71" spans="1:14" x14ac:dyDescent="0.3">
      <c r="A71" s="190"/>
      <c r="B71" s="59" t="s">
        <v>64</v>
      </c>
      <c r="C71" s="242"/>
      <c r="D71" s="366" t="s">
        <v>25</v>
      </c>
      <c r="E71" s="367"/>
      <c r="F71" s="92"/>
      <c r="G71" s="375" t="str">
        <f>'Comparaison interannuelle'!B40</f>
        <v>Autre, Préciser :</v>
      </c>
      <c r="H71" s="376"/>
      <c r="I71" s="376"/>
      <c r="J71" s="288" t="e">
        <f>C73/$C$75</f>
        <v>#DIV/0!</v>
      </c>
    </row>
    <row r="72" spans="1:14" ht="16.2" thickBot="1" x14ac:dyDescent="0.35">
      <c r="A72" s="190"/>
      <c r="B72" s="59" t="s">
        <v>59</v>
      </c>
      <c r="C72" s="242"/>
      <c r="D72" s="366" t="s">
        <v>25</v>
      </c>
      <c r="E72" s="367"/>
      <c r="F72" s="92"/>
      <c r="G72" s="368" t="s">
        <v>63</v>
      </c>
      <c r="H72" s="369"/>
      <c r="I72" s="369"/>
      <c r="J72" s="289" t="e">
        <f>SUM(J66:J71)</f>
        <v>#DIV/0!</v>
      </c>
    </row>
    <row r="73" spans="1:14" ht="15.75" customHeight="1" x14ac:dyDescent="0.3">
      <c r="A73" s="190"/>
      <c r="B73" s="241" t="s">
        <v>179</v>
      </c>
      <c r="C73" s="245"/>
      <c r="D73" s="366" t="s">
        <v>25</v>
      </c>
      <c r="E73" s="367"/>
      <c r="F73" s="92"/>
      <c r="G73" s="370"/>
      <c r="H73" s="371"/>
      <c r="I73" s="371"/>
      <c r="J73" s="372"/>
    </row>
    <row r="74" spans="1:14" ht="15.6" customHeight="1" x14ac:dyDescent="0.3">
      <c r="A74" s="190"/>
      <c r="B74" s="138" t="s">
        <v>61</v>
      </c>
      <c r="C74" s="72">
        <f>SUM(C71:C73)</f>
        <v>0</v>
      </c>
      <c r="D74" s="366" t="s">
        <v>25</v>
      </c>
      <c r="E74" s="367"/>
      <c r="F74" s="92"/>
      <c r="G74" s="373" t="str">
        <f>IF(C15="cogé","Prix vente élec recalculé (CA total/KWélec vendus)","Prix vente CH4 recalculé (CA total/KWCH4 vendus)")</f>
        <v>Prix vente élec recalculé (CA total/KWélec vendus)</v>
      </c>
      <c r="H74" s="374"/>
      <c r="I74" s="374"/>
      <c r="J74" s="140" t="e">
        <f>C75/C62</f>
        <v>#DIV/0!</v>
      </c>
    </row>
    <row r="75" spans="1:14" ht="18.75" customHeight="1" thickBot="1" x14ac:dyDescent="0.35">
      <c r="A75" s="191"/>
      <c r="B75" s="56" t="s">
        <v>16</v>
      </c>
      <c r="C75" s="38">
        <f>+C74+C70</f>
        <v>0</v>
      </c>
      <c r="D75" s="362"/>
      <c r="E75" s="363"/>
      <c r="F75" s="92"/>
      <c r="G75" s="364" t="str">
        <f>IF(C15="cogé","Prix vente du biogaz recalculé (CA total/Kwh PCS produits)","")</f>
        <v>Prix vente du biogaz recalculé (CA total/Kwh PCS produits)</v>
      </c>
      <c r="H75" s="365"/>
      <c r="I75" s="365"/>
      <c r="J75" s="141" t="e">
        <f>J74*C93</f>
        <v>#DIV/0!</v>
      </c>
      <c r="K75" s="15"/>
      <c r="L75"/>
      <c r="M75"/>
    </row>
    <row r="76" spans="1:14" ht="9.75" customHeight="1" thickBot="1" x14ac:dyDescent="0.35">
      <c r="A76" s="6"/>
      <c r="B76" s="21"/>
      <c r="C76" s="104"/>
      <c r="D76" s="104"/>
      <c r="E76" s="104"/>
      <c r="H76"/>
      <c r="I76"/>
      <c r="J76"/>
      <c r="K76"/>
      <c r="L76"/>
      <c r="M76"/>
      <c r="N76"/>
    </row>
    <row r="77" spans="1:14" x14ac:dyDescent="0.3">
      <c r="A77" s="345" t="s">
        <v>35</v>
      </c>
      <c r="B77" s="346"/>
      <c r="C77" s="346"/>
      <c r="D77" s="347" t="s">
        <v>24</v>
      </c>
      <c r="E77" s="348"/>
      <c r="F77" s="92"/>
      <c r="G77" s="45" t="s">
        <v>75</v>
      </c>
      <c r="H77" s="43"/>
      <c r="I77" s="42"/>
      <c r="J77" s="42"/>
      <c r="K77" s="42"/>
      <c r="L77" s="42"/>
      <c r="M77" s="42"/>
      <c r="N77" s="42"/>
    </row>
    <row r="78" spans="1:14" ht="16.2" thickBot="1" x14ac:dyDescent="0.35">
      <c r="A78" s="192"/>
      <c r="B78" s="57" t="s">
        <v>66</v>
      </c>
      <c r="C78" s="246"/>
      <c r="D78" s="354" t="s">
        <v>82</v>
      </c>
      <c r="E78" s="355"/>
      <c r="F78" s="92"/>
      <c r="J78" s="7"/>
    </row>
    <row r="79" spans="1:14" x14ac:dyDescent="0.3">
      <c r="A79" s="192"/>
      <c r="B79" s="57" t="s">
        <v>67</v>
      </c>
      <c r="C79" s="246"/>
      <c r="D79" s="354" t="s">
        <v>82</v>
      </c>
      <c r="E79" s="355"/>
      <c r="F79" s="92"/>
      <c r="G79" s="80" t="s">
        <v>69</v>
      </c>
      <c r="H79" s="81"/>
      <c r="I79" s="82" t="e">
        <f t="shared" ref="I79:I86" si="2">C78/$C$86</f>
        <v>#DIV/0!</v>
      </c>
      <c r="J79" s="7"/>
    </row>
    <row r="80" spans="1:14" x14ac:dyDescent="0.3">
      <c r="A80" s="192"/>
      <c r="B80" s="57" t="s">
        <v>193</v>
      </c>
      <c r="C80" s="246"/>
      <c r="D80" s="354" t="s">
        <v>82</v>
      </c>
      <c r="E80" s="355"/>
      <c r="F80" s="92"/>
      <c r="G80" s="84" t="s">
        <v>70</v>
      </c>
      <c r="H80" s="78"/>
      <c r="I80" s="83" t="e">
        <f t="shared" si="2"/>
        <v>#DIV/0!</v>
      </c>
      <c r="J80" s="7"/>
    </row>
    <row r="81" spans="1:15" x14ac:dyDescent="0.3">
      <c r="A81" s="192"/>
      <c r="B81" s="57" t="s">
        <v>194</v>
      </c>
      <c r="C81" s="246"/>
      <c r="D81" s="354" t="s">
        <v>82</v>
      </c>
      <c r="E81" s="355"/>
      <c r="F81" s="92"/>
      <c r="G81" s="84" t="s">
        <v>71</v>
      </c>
      <c r="H81" s="78"/>
      <c r="I81" s="83" t="e">
        <f t="shared" si="2"/>
        <v>#DIV/0!</v>
      </c>
      <c r="J81" s="7"/>
    </row>
    <row r="82" spans="1:15" x14ac:dyDescent="0.3">
      <c r="A82" s="192"/>
      <c r="B82" s="57" t="s">
        <v>22</v>
      </c>
      <c r="C82" s="246"/>
      <c r="D82" s="354" t="s">
        <v>82</v>
      </c>
      <c r="E82" s="355"/>
      <c r="F82" s="92"/>
      <c r="G82" s="84" t="s">
        <v>72</v>
      </c>
      <c r="H82" s="78"/>
      <c r="I82" s="83" t="e">
        <f t="shared" si="2"/>
        <v>#DIV/0!</v>
      </c>
      <c r="J82" s="7"/>
    </row>
    <row r="83" spans="1:15" x14ac:dyDescent="0.3">
      <c r="A83" s="192"/>
      <c r="B83" s="57" t="s">
        <v>195</v>
      </c>
      <c r="C83" s="246"/>
      <c r="D83" s="354" t="s">
        <v>82</v>
      </c>
      <c r="E83" s="355"/>
      <c r="F83" s="92"/>
      <c r="G83" s="84" t="s">
        <v>134</v>
      </c>
      <c r="H83" s="78"/>
      <c r="I83" s="83" t="e">
        <f t="shared" si="2"/>
        <v>#DIV/0!</v>
      </c>
      <c r="J83" s="7"/>
    </row>
    <row r="84" spans="1:15" x14ac:dyDescent="0.3">
      <c r="A84" s="192"/>
      <c r="B84" s="57" t="s">
        <v>123</v>
      </c>
      <c r="C84" s="246"/>
      <c r="D84" s="354" t="s">
        <v>82</v>
      </c>
      <c r="E84" s="355"/>
      <c r="F84" s="92"/>
      <c r="G84" s="84" t="s">
        <v>73</v>
      </c>
      <c r="H84" s="78"/>
      <c r="I84" s="83" t="e">
        <f t="shared" si="2"/>
        <v>#DIV/0!</v>
      </c>
      <c r="J84" s="7"/>
    </row>
    <row r="85" spans="1:15" x14ac:dyDescent="0.3">
      <c r="A85" s="192"/>
      <c r="B85" s="57" t="s">
        <v>89</v>
      </c>
      <c r="C85" s="246"/>
      <c r="D85" s="354" t="s">
        <v>82</v>
      </c>
      <c r="E85" s="355"/>
      <c r="F85" s="92"/>
      <c r="G85" s="84" t="s">
        <v>74</v>
      </c>
      <c r="H85" s="78"/>
      <c r="I85" s="83" t="e">
        <f t="shared" si="2"/>
        <v>#DIV/0!</v>
      </c>
      <c r="J85" s="7"/>
    </row>
    <row r="86" spans="1:15" x14ac:dyDescent="0.3">
      <c r="A86" s="192"/>
      <c r="B86" s="63" t="s">
        <v>219</v>
      </c>
      <c r="C86" s="60">
        <f>IF(SUM(C78:C85)&lt;=0,C28,SUM(C78:C85))</f>
        <v>0</v>
      </c>
      <c r="D86" s="354" t="s">
        <v>82</v>
      </c>
      <c r="E86" s="355"/>
      <c r="F86" s="92"/>
      <c r="G86" s="84" t="s">
        <v>68</v>
      </c>
      <c r="H86" s="78"/>
      <c r="I86" s="83" t="e">
        <f t="shared" si="2"/>
        <v>#DIV/0!</v>
      </c>
      <c r="J86" s="73"/>
    </row>
    <row r="87" spans="1:15" ht="16.2" thickBot="1" x14ac:dyDescent="0.35">
      <c r="A87" s="192"/>
      <c r="B87" s="57" t="s">
        <v>216</v>
      </c>
      <c r="C87" s="247"/>
      <c r="D87" s="354" t="s">
        <v>82</v>
      </c>
      <c r="E87" s="355"/>
      <c r="F87" s="92"/>
      <c r="G87" s="118" t="s">
        <v>63</v>
      </c>
      <c r="H87" s="119"/>
      <c r="I87" s="85" t="e">
        <f>SUM(I79:I86)</f>
        <v>#DIV/0!</v>
      </c>
      <c r="J87" s="35"/>
    </row>
    <row r="88" spans="1:15" x14ac:dyDescent="0.3">
      <c r="A88" s="192"/>
      <c r="B88" s="57" t="s">
        <v>217</v>
      </c>
      <c r="C88" s="247"/>
      <c r="D88" s="354" t="s">
        <v>82</v>
      </c>
      <c r="E88" s="355"/>
      <c r="F88" s="92"/>
    </row>
    <row r="89" spans="1:15" x14ac:dyDescent="0.3">
      <c r="A89" s="192"/>
      <c r="B89" s="57" t="s">
        <v>218</v>
      </c>
      <c r="C89" s="247"/>
      <c r="D89" s="354" t="s">
        <v>82</v>
      </c>
      <c r="E89" s="355"/>
      <c r="F89" s="92"/>
      <c r="G89" s="12" t="s">
        <v>76</v>
      </c>
      <c r="H89" s="79" t="e">
        <f>I83</f>
        <v>#DIV/0!</v>
      </c>
      <c r="I89" s="361" t="s">
        <v>77</v>
      </c>
      <c r="J89" s="361"/>
      <c r="K89" s="361"/>
    </row>
    <row r="90" spans="1:15" ht="16.2" thickBot="1" x14ac:dyDescent="0.35">
      <c r="A90" s="193"/>
      <c r="B90" s="62" t="s">
        <v>155</v>
      </c>
      <c r="C90" s="61">
        <f>+SUM(C87:C89)</f>
        <v>0</v>
      </c>
      <c r="D90" s="356" t="s">
        <v>82</v>
      </c>
      <c r="E90" s="357"/>
      <c r="F90" s="92"/>
      <c r="G90" s="12" t="s">
        <v>78</v>
      </c>
      <c r="H90" s="79" t="e">
        <f>I80+I79</f>
        <v>#DIV/0!</v>
      </c>
      <c r="I90" s="361" t="s">
        <v>79</v>
      </c>
      <c r="J90" s="361"/>
      <c r="K90" s="361"/>
    </row>
    <row r="91" spans="1:15" ht="9.75" customHeight="1" thickBot="1" x14ac:dyDescent="0.35">
      <c r="B91"/>
      <c r="E91"/>
      <c r="F91" s="92"/>
    </row>
    <row r="92" spans="1:15" x14ac:dyDescent="0.3">
      <c r="A92" s="358" t="s">
        <v>34</v>
      </c>
      <c r="B92" s="359"/>
      <c r="C92" s="360"/>
      <c r="D92" s="347" t="s">
        <v>24</v>
      </c>
      <c r="E92" s="348"/>
      <c r="F92" s="92"/>
      <c r="G92" s="45" t="s">
        <v>139</v>
      </c>
      <c r="H92" s="43"/>
      <c r="I92" s="43"/>
      <c r="J92" s="43"/>
      <c r="K92" s="44"/>
      <c r="L92" s="44"/>
      <c r="M92" s="44"/>
      <c r="N92" s="42"/>
    </row>
    <row r="93" spans="1:15" x14ac:dyDescent="0.3">
      <c r="A93" s="58"/>
      <c r="B93" s="12" t="str">
        <f>+IF($C$15="Cogé","Rendement moteur","Rendement épuratoire")</f>
        <v>Rendement moteur</v>
      </c>
      <c r="C93" s="248"/>
      <c r="D93" s="102" t="s">
        <v>36</v>
      </c>
      <c r="E93" s="259"/>
      <c r="F93" s="92"/>
      <c r="G93" s="17"/>
      <c r="H93" s="36"/>
      <c r="I93" s="36" t="s">
        <v>136</v>
      </c>
      <c r="J93" s="36" t="s">
        <v>135</v>
      </c>
      <c r="K93" s="143" t="s">
        <v>137</v>
      </c>
      <c r="L93" s="16"/>
      <c r="M93" s="16"/>
      <c r="N93" s="16"/>
    </row>
    <row r="94" spans="1:15" x14ac:dyDescent="0.3">
      <c r="A94" s="120"/>
      <c r="B94" s="52" t="str">
        <f>IF(C15="cogé","MWh bruts sortie génératrice (cogé)","")</f>
        <v>MWh bruts sortie génératrice (cogé)</v>
      </c>
      <c r="C94" s="249"/>
      <c r="D94" s="354" t="s">
        <v>23</v>
      </c>
      <c r="E94" s="355"/>
      <c r="F94" s="92"/>
      <c r="G94" s="39" t="str">
        <f>IF(C15="cogé","% conso auxiliaire/vente réseau","% Conso biométhane sur chaudière")</f>
        <v>% conso auxiliaire/vente réseau</v>
      </c>
      <c r="H94" s="55"/>
      <c r="I94" s="96">
        <v>0.02</v>
      </c>
      <c r="J94" s="96" t="e">
        <f>C100/C62</f>
        <v>#DIV/0!</v>
      </c>
      <c r="K94" s="96">
        <v>0.06</v>
      </c>
      <c r="L94" s="171" t="s">
        <v>93</v>
      </c>
      <c r="M94" s="144"/>
      <c r="N94" s="144"/>
      <c r="O94" s="145"/>
    </row>
    <row r="95" spans="1:15" x14ac:dyDescent="0.3">
      <c r="A95" s="192"/>
      <c r="B95" s="98" t="str">
        <f>IF($C$15="cogé","","Conso électricité partie épurateur")</f>
        <v/>
      </c>
      <c r="C95" s="249"/>
      <c r="D95" s="354" t="s">
        <v>23</v>
      </c>
      <c r="E95" s="355"/>
      <c r="F95" s="92"/>
      <c r="G95" s="39" t="s">
        <v>87</v>
      </c>
      <c r="H95" s="55"/>
      <c r="I95" s="96">
        <v>0.06</v>
      </c>
      <c r="J95" s="96" t="e">
        <f>C98/C62</f>
        <v>#DIV/0!</v>
      </c>
      <c r="K95" s="96">
        <v>0.12</v>
      </c>
      <c r="L95" s="171" t="s">
        <v>88</v>
      </c>
      <c r="M95" s="144"/>
      <c r="N95" s="144"/>
      <c r="O95" s="145"/>
    </row>
    <row r="96" spans="1:15" x14ac:dyDescent="0.3">
      <c r="A96" s="192"/>
      <c r="B96" s="98" t="str">
        <f>IF($C$15="cogé","Conso électricité du site","Conso électricité du site hors épurateur")</f>
        <v>Conso électricité du site</v>
      </c>
      <c r="C96" s="249"/>
      <c r="D96" s="354" t="s">
        <v>23</v>
      </c>
      <c r="E96" s="355"/>
      <c r="F96" s="92"/>
      <c r="G96" s="39" t="s">
        <v>176</v>
      </c>
      <c r="H96" s="64"/>
      <c r="I96" s="96">
        <v>0</v>
      </c>
      <c r="J96" s="96" t="e">
        <f>IF(C15="cogé",C103*0.55*9.97*0.4/1000/C62,C103*0.55*10.8/1000/C62)</f>
        <v>#DIV/0!</v>
      </c>
      <c r="K96" s="96">
        <v>0.05</v>
      </c>
      <c r="L96" s="171" t="str">
        <f>IF(C15="cogé","MWH élect torché/MWhélect vendus","MWH biométhane torché/MWhbiométhane vendus")</f>
        <v>MWH élect torché/MWhélect vendus</v>
      </c>
      <c r="M96" s="144"/>
      <c r="N96" s="144"/>
      <c r="O96" s="145"/>
    </row>
    <row r="97" spans="1:15" x14ac:dyDescent="0.3">
      <c r="A97" s="192"/>
      <c r="B97" s="98" t="s">
        <v>147</v>
      </c>
      <c r="C97" s="249"/>
      <c r="D97" s="354" t="s">
        <v>23</v>
      </c>
      <c r="E97" s="355"/>
      <c r="F97" s="92"/>
      <c r="G97" s="39" t="s">
        <v>85</v>
      </c>
      <c r="H97" s="64"/>
      <c r="I97" s="96">
        <v>0.1</v>
      </c>
      <c r="J97" s="96">
        <f>IF(ISBLANK(C96),0,C97/(C98))</f>
        <v>0</v>
      </c>
      <c r="K97" s="96">
        <v>0.3</v>
      </c>
      <c r="L97" s="171" t="s">
        <v>80</v>
      </c>
      <c r="M97" s="144"/>
      <c r="N97" s="144"/>
      <c r="O97" s="145"/>
    </row>
    <row r="98" spans="1:15" x14ac:dyDescent="0.3">
      <c r="A98" s="192"/>
      <c r="B98" s="142" t="str">
        <f>+IF(C15="cogé","Consommation totale en électricité hors auxiliaires","Consommation totale en électricité")</f>
        <v>Consommation totale en électricité hors auxiliaires</v>
      </c>
      <c r="C98" s="227">
        <f>+C96+C95</f>
        <v>0</v>
      </c>
      <c r="D98" s="354" t="s">
        <v>23</v>
      </c>
      <c r="E98" s="355"/>
      <c r="F98" s="92"/>
      <c r="G98" s="39"/>
      <c r="H98" s="64"/>
      <c r="I98" s="96"/>
      <c r="K98" s="54"/>
      <c r="L98" s="54"/>
      <c r="M98" s="144"/>
      <c r="N98" s="144"/>
      <c r="O98" s="145"/>
    </row>
    <row r="99" spans="1:15" x14ac:dyDescent="0.3">
      <c r="A99" s="192"/>
      <c r="B99" s="98" t="str">
        <f>+IF(C15="cogé","Autoconso pour hygiénisation","Achat énergie grise pour hygiénisation")</f>
        <v>Autoconso pour hygiénisation</v>
      </c>
      <c r="C99" s="250"/>
      <c r="D99" s="354" t="s">
        <v>23</v>
      </c>
      <c r="E99" s="355"/>
      <c r="F99" s="92"/>
      <c r="G99" s="6"/>
      <c r="H99" s="6"/>
      <c r="I99" s="6"/>
      <c r="K99" s="6"/>
      <c r="L99" s="6"/>
      <c r="M99" s="6"/>
      <c r="N99" s="6"/>
    </row>
    <row r="100" spans="1:15" x14ac:dyDescent="0.3">
      <c r="A100" s="192"/>
      <c r="B100" s="98" t="str">
        <f>IF($C$15="cogé","Cogé autoconso auxilliaires élec relevée","Autoconsommation biométhane pour chauffage")</f>
        <v>Cogé autoconso auxilliaires élec relevée</v>
      </c>
      <c r="C100" s="250"/>
      <c r="D100" s="354" t="s">
        <v>23</v>
      </c>
      <c r="E100" s="355"/>
      <c r="F100" s="92"/>
      <c r="G100" s="6"/>
      <c r="I100" s="6"/>
      <c r="K100" s="6"/>
      <c r="L100" s="6"/>
      <c r="M100" s="6"/>
      <c r="N100" s="6"/>
    </row>
    <row r="101" spans="1:15" x14ac:dyDescent="0.3">
      <c r="A101" s="192"/>
      <c r="B101" s="98" t="str">
        <f>IF(C15="cogé","","Temps fonctionnement chaudière")</f>
        <v/>
      </c>
      <c r="C101" s="251"/>
      <c r="D101" s="354" t="s">
        <v>50</v>
      </c>
      <c r="E101" s="355"/>
      <c r="F101" s="92"/>
      <c r="G101" s="6"/>
      <c r="H101" s="6"/>
      <c r="I101" s="6"/>
      <c r="K101" s="6"/>
      <c r="L101" s="6"/>
      <c r="M101" s="6"/>
      <c r="N101" s="6"/>
    </row>
    <row r="102" spans="1:15" x14ac:dyDescent="0.3">
      <c r="A102" s="192"/>
      <c r="B102" s="97" t="s">
        <v>91</v>
      </c>
      <c r="C102" s="251"/>
      <c r="D102" s="354" t="s">
        <v>50</v>
      </c>
      <c r="E102" s="355"/>
      <c r="F102" s="92"/>
      <c r="G102" s="6"/>
      <c r="H102" s="6"/>
      <c r="I102" s="6"/>
      <c r="K102" s="6"/>
      <c r="L102" s="6"/>
      <c r="M102" s="6"/>
      <c r="N102" s="6"/>
    </row>
    <row r="103" spans="1:15" ht="16.2" thickBot="1" x14ac:dyDescent="0.35">
      <c r="A103" s="193"/>
      <c r="B103" s="99" t="s">
        <v>92</v>
      </c>
      <c r="C103" s="252"/>
      <c r="D103" s="356" t="s">
        <v>90</v>
      </c>
      <c r="E103" s="357"/>
      <c r="F103" s="92"/>
    </row>
    <row r="104" spans="1:15" ht="8.25" customHeight="1" thickBot="1" x14ac:dyDescent="0.35">
      <c r="A104" s="6"/>
      <c r="B104" s="6"/>
      <c r="C104" s="24"/>
      <c r="D104" s="24"/>
      <c r="E104" s="24"/>
      <c r="F104" s="92"/>
      <c r="G104" s="7"/>
      <c r="H104" s="7"/>
      <c r="I104" s="7"/>
      <c r="J104" s="7"/>
    </row>
    <row r="105" spans="1:15" ht="15.75" customHeight="1" x14ac:dyDescent="0.3">
      <c r="A105" s="345" t="s">
        <v>37</v>
      </c>
      <c r="B105" s="346"/>
      <c r="C105" s="346"/>
      <c r="D105" s="347" t="s">
        <v>36</v>
      </c>
      <c r="E105" s="348"/>
      <c r="F105" s="92"/>
      <c r="G105" s="45" t="s">
        <v>44</v>
      </c>
      <c r="H105" s="43"/>
      <c r="I105" s="43"/>
      <c r="J105" s="43"/>
      <c r="K105" s="44"/>
      <c r="L105" s="44"/>
      <c r="M105" s="44"/>
      <c r="N105" s="42"/>
    </row>
    <row r="106" spans="1:15" ht="16.5" customHeight="1" thickBot="1" x14ac:dyDescent="0.35">
      <c r="A106" s="349" t="s">
        <v>18</v>
      </c>
      <c r="B106" s="146" t="s">
        <v>4</v>
      </c>
      <c r="C106" s="240"/>
      <c r="D106" s="332" t="e">
        <f t="shared" ref="D106:D131" si="3">C106/$C$131</f>
        <v>#DIV/0!</v>
      </c>
      <c r="E106" s="333"/>
      <c r="F106" s="92"/>
    </row>
    <row r="107" spans="1:15" ht="27" customHeight="1" x14ac:dyDescent="0.3">
      <c r="A107" s="350"/>
      <c r="B107" s="146" t="s">
        <v>124</v>
      </c>
      <c r="C107" s="240"/>
      <c r="D107" s="332" t="e">
        <f t="shared" si="3"/>
        <v>#DIV/0!</v>
      </c>
      <c r="E107" s="333"/>
      <c r="F107" s="92"/>
      <c r="G107" s="184"/>
      <c r="H107" s="226" t="s">
        <v>36</v>
      </c>
      <c r="I107" s="228" t="s">
        <v>40</v>
      </c>
      <c r="J107" s="229" t="s">
        <v>41</v>
      </c>
      <c r="K107" s="25"/>
    </row>
    <row r="108" spans="1:15" ht="27" customHeight="1" x14ac:dyDescent="0.3">
      <c r="A108" s="351"/>
      <c r="B108" s="183" t="s">
        <v>187</v>
      </c>
      <c r="C108" s="253"/>
      <c r="D108" s="332" t="e">
        <f t="shared" si="3"/>
        <v>#DIV/0!</v>
      </c>
      <c r="E108" s="333"/>
      <c r="F108" s="92"/>
      <c r="G108" s="280" t="s">
        <v>18</v>
      </c>
      <c r="H108" s="275" t="e">
        <f>+(C106+C107+C108)/$C$131</f>
        <v>#DIV/0!</v>
      </c>
      <c r="I108" s="276" t="e">
        <f>+(C106+C107+C108)/$C$62</f>
        <v>#DIV/0!</v>
      </c>
      <c r="J108" s="277" t="e">
        <f>+(C106+C107+C108)/$C$86</f>
        <v>#DIV/0!</v>
      </c>
      <c r="K108" s="25"/>
    </row>
    <row r="109" spans="1:15" ht="21" customHeight="1" x14ac:dyDescent="0.3">
      <c r="A109" s="352" t="s">
        <v>19</v>
      </c>
      <c r="B109" s="115" t="s">
        <v>125</v>
      </c>
      <c r="C109" s="240"/>
      <c r="D109" s="332" t="e">
        <f t="shared" si="3"/>
        <v>#DIV/0!</v>
      </c>
      <c r="E109" s="333"/>
      <c r="F109" s="92"/>
      <c r="G109" s="280" t="s">
        <v>19</v>
      </c>
      <c r="H109" s="275" t="e">
        <f>+(C109+C110)/$C$131</f>
        <v>#DIV/0!</v>
      </c>
      <c r="I109" s="276" t="e">
        <f>+(C109+C110)/$C$62</f>
        <v>#DIV/0!</v>
      </c>
      <c r="J109" s="277" t="e">
        <f>+(C109+C110)/$C$86</f>
        <v>#DIV/0!</v>
      </c>
    </row>
    <row r="110" spans="1:15" ht="21" customHeight="1" x14ac:dyDescent="0.3">
      <c r="A110" s="353"/>
      <c r="B110" s="115" t="s">
        <v>188</v>
      </c>
      <c r="C110" s="253"/>
      <c r="D110" s="332" t="e">
        <f t="shared" si="3"/>
        <v>#DIV/0!</v>
      </c>
      <c r="E110" s="333"/>
      <c r="F110" s="92"/>
      <c r="G110" s="280" t="s">
        <v>20</v>
      </c>
      <c r="H110" s="275" t="e">
        <f>SUM(C111:C123)/$C$131</f>
        <v>#DIV/0!</v>
      </c>
      <c r="I110" s="276" t="e">
        <f>SUM(C111:C123)/$C$62</f>
        <v>#DIV/0!</v>
      </c>
      <c r="J110" s="277" t="e">
        <f>SUM(C111:C123)/$C$86</f>
        <v>#DIV/0!</v>
      </c>
    </row>
    <row r="111" spans="1:15" ht="21" customHeight="1" x14ac:dyDescent="0.3">
      <c r="A111" s="339" t="s">
        <v>38</v>
      </c>
      <c r="B111" s="115" t="s">
        <v>126</v>
      </c>
      <c r="C111" s="253"/>
      <c r="D111" s="332" t="e">
        <f t="shared" si="3"/>
        <v>#DIV/0!</v>
      </c>
      <c r="E111" s="333"/>
      <c r="F111" s="92"/>
      <c r="G111" s="274" t="s">
        <v>174</v>
      </c>
      <c r="H111" s="343"/>
      <c r="I111" s="290" t="e">
        <f>C120/$C$62</f>
        <v>#DIV/0!</v>
      </c>
      <c r="J111" s="278" t="e">
        <f>+C120/C86</f>
        <v>#DIV/0!</v>
      </c>
    </row>
    <row r="112" spans="1:15" ht="27" customHeight="1" x14ac:dyDescent="0.3">
      <c r="A112" s="340"/>
      <c r="B112" s="115" t="s">
        <v>201</v>
      </c>
      <c r="C112" s="253"/>
      <c r="D112" s="332" t="e">
        <f t="shared" si="3"/>
        <v>#DIV/0!</v>
      </c>
      <c r="E112" s="333"/>
      <c r="F112" s="92"/>
      <c r="G112" s="274" t="s">
        <v>175</v>
      </c>
      <c r="H112" s="344"/>
      <c r="I112" s="290" t="e">
        <f>SUM(C111:C114)/$C$62</f>
        <v>#DIV/0!</v>
      </c>
      <c r="J112" s="278" t="e">
        <f>+SUM(C111:C114)/C86</f>
        <v>#DIV/0!</v>
      </c>
    </row>
    <row r="113" spans="1:30" ht="21" customHeight="1" x14ac:dyDescent="0.3">
      <c r="A113" s="341"/>
      <c r="B113" s="115" t="str">
        <f>IF(C15="cogé","Maintenance/entretien cogénération","Maintenance/entretien épurateur")</f>
        <v>Maintenance/entretien cogénération</v>
      </c>
      <c r="C113" s="253"/>
      <c r="D113" s="332" t="e">
        <f t="shared" si="3"/>
        <v>#DIV/0!</v>
      </c>
      <c r="E113" s="333"/>
      <c r="F113" s="92"/>
      <c r="G113" s="281" t="s">
        <v>42</v>
      </c>
      <c r="H113" s="275" t="e">
        <f>+(C124+C126+C125)/$C$131</f>
        <v>#DIV/0!</v>
      </c>
      <c r="I113" s="276" t="e">
        <f>+(C125+C124+C126)/$C$62</f>
        <v>#DIV/0!</v>
      </c>
      <c r="J113" s="277" t="e">
        <f>+(C125+C124+C126)/$C$86</f>
        <v>#DIV/0!</v>
      </c>
    </row>
    <row r="114" spans="1:30" ht="27" customHeight="1" x14ac:dyDescent="0.3">
      <c r="A114" s="341"/>
      <c r="B114" s="115" t="str">
        <f>IF(C15="cogé","Maintenance/entretien cogénération (charge amortissable)","Maintenance/entretien épurateur (charge amortissable)")</f>
        <v>Maintenance/entretien cogénération (charge amortissable)</v>
      </c>
      <c r="C114" s="253"/>
      <c r="D114" s="332" t="e">
        <f t="shared" si="3"/>
        <v>#DIV/0!</v>
      </c>
      <c r="E114" s="333"/>
      <c r="F114" s="92"/>
      <c r="G114" s="280" t="s">
        <v>21</v>
      </c>
      <c r="H114" s="275" t="e">
        <f>+(C127+C128)/$C$131</f>
        <v>#DIV/0!</v>
      </c>
      <c r="I114" s="276" t="e">
        <f>+(C127+C128)/$C$62</f>
        <v>#DIV/0!</v>
      </c>
      <c r="J114" s="277" t="e">
        <f>+(C127+C128)/$C$86</f>
        <v>#DIV/0!</v>
      </c>
    </row>
    <row r="115" spans="1:30" ht="31.2" x14ac:dyDescent="0.3">
      <c r="A115" s="341"/>
      <c r="B115" s="284" t="s">
        <v>221</v>
      </c>
      <c r="C115" s="253"/>
      <c r="D115" s="332" t="e">
        <f t="shared" si="3"/>
        <v>#DIV/0!</v>
      </c>
      <c r="E115" s="333"/>
      <c r="F115" s="92"/>
      <c r="G115" s="282" t="s">
        <v>86</v>
      </c>
      <c r="H115" s="275" t="e">
        <f>+(C129+C130)/$C$131</f>
        <v>#DIV/0!</v>
      </c>
      <c r="I115" s="276" t="e">
        <f>+(C129+C130)/$C$62</f>
        <v>#DIV/0!</v>
      </c>
      <c r="J115" s="277" t="e">
        <f>+(C129+C130)/$C$86</f>
        <v>#DIV/0!</v>
      </c>
      <c r="K115" s="22"/>
    </row>
    <row r="116" spans="1:30" ht="45.6" thickBot="1" x14ac:dyDescent="0.35">
      <c r="A116" s="341"/>
      <c r="B116" s="284" t="s">
        <v>222</v>
      </c>
      <c r="C116" s="253"/>
      <c r="D116" s="332" t="e">
        <f t="shared" si="3"/>
        <v>#DIV/0!</v>
      </c>
      <c r="E116" s="333"/>
      <c r="F116" s="92"/>
      <c r="G116" s="283" t="s">
        <v>43</v>
      </c>
      <c r="H116" s="279" t="e">
        <f>SUM(H108:H110,H113:H115)</f>
        <v>#DIV/0!</v>
      </c>
      <c r="I116" s="291" t="e">
        <f>SUM(I108:I110,I113:I115)</f>
        <v>#DIV/0!</v>
      </c>
      <c r="J116" s="292" t="e">
        <f>SUM(J108:J110,J113:J115)</f>
        <v>#DIV/0!</v>
      </c>
      <c r="K116" s="22"/>
    </row>
    <row r="117" spans="1:30" ht="21" customHeight="1" x14ac:dyDescent="0.3">
      <c r="A117" s="341"/>
      <c r="B117" s="115" t="s">
        <v>189</v>
      </c>
      <c r="C117" s="253"/>
      <c r="D117" s="332" t="e">
        <f t="shared" si="3"/>
        <v>#DIV/0!</v>
      </c>
      <c r="E117" s="333"/>
      <c r="F117" s="92"/>
      <c r="K117" s="23"/>
    </row>
    <row r="118" spans="1:30" ht="27" customHeight="1" x14ac:dyDescent="0.3">
      <c r="A118" s="341"/>
      <c r="B118" s="115" t="s">
        <v>190</v>
      </c>
      <c r="C118" s="253"/>
      <c r="D118" s="332" t="e">
        <f t="shared" si="3"/>
        <v>#DIV/0!</v>
      </c>
      <c r="E118" s="333"/>
      <c r="F118" s="92"/>
    </row>
    <row r="119" spans="1:30" ht="27" customHeight="1" thickBot="1" x14ac:dyDescent="0.35">
      <c r="A119" s="341"/>
      <c r="B119" s="115" t="s">
        <v>141</v>
      </c>
      <c r="C119" s="253"/>
      <c r="D119" s="332" t="e">
        <f t="shared" si="3"/>
        <v>#DIV/0!</v>
      </c>
      <c r="E119" s="333"/>
      <c r="F119" s="92"/>
      <c r="L119" s="30"/>
      <c r="N119" s="10"/>
    </row>
    <row r="120" spans="1:30" ht="21" customHeight="1" x14ac:dyDescent="0.3">
      <c r="A120" s="341"/>
      <c r="B120" s="115" t="s">
        <v>96</v>
      </c>
      <c r="C120" s="253"/>
      <c r="D120" s="332" t="e">
        <f t="shared" si="3"/>
        <v>#DIV/0!</v>
      </c>
      <c r="E120" s="333"/>
      <c r="F120" s="92"/>
      <c r="G120" s="149"/>
      <c r="H120" s="150" t="s">
        <v>128</v>
      </c>
      <c r="I120" s="151" t="s">
        <v>260</v>
      </c>
      <c r="J120" s="151" t="s">
        <v>146</v>
      </c>
      <c r="K120" s="152" t="s">
        <v>285</v>
      </c>
      <c r="L120" s="153" t="s">
        <v>84</v>
      </c>
    </row>
    <row r="121" spans="1:30" ht="27" customHeight="1" x14ac:dyDescent="0.3">
      <c r="A121" s="341"/>
      <c r="B121" s="115" t="s">
        <v>127</v>
      </c>
      <c r="C121" s="253"/>
      <c r="D121" s="332" t="e">
        <f t="shared" si="3"/>
        <v>#DIV/0!</v>
      </c>
      <c r="E121" s="333"/>
      <c r="F121" s="92"/>
      <c r="G121" s="154" t="str">
        <f>G108</f>
        <v>APPRO</v>
      </c>
      <c r="H121" s="155" t="e">
        <f>I108</f>
        <v>#DIV/0!</v>
      </c>
      <c r="I121" s="167">
        <f t="shared" ref="I121:I126" si="4">+IF($C$15="Cogé",AD126,AC126)</f>
        <v>68.161279894563918</v>
      </c>
      <c r="J121" s="157"/>
      <c r="K121" s="139"/>
      <c r="L121" s="158"/>
    </row>
    <row r="122" spans="1:30" ht="21" customHeight="1" x14ac:dyDescent="0.3">
      <c r="A122" s="341"/>
      <c r="B122" s="115" t="s">
        <v>142</v>
      </c>
      <c r="C122" s="253"/>
      <c r="D122" s="332" t="e">
        <f t="shared" si="3"/>
        <v>#DIV/0!</v>
      </c>
      <c r="E122" s="333"/>
      <c r="F122" s="92"/>
      <c r="G122" s="154" t="str">
        <f>G109</f>
        <v>DIGESTAT</v>
      </c>
      <c r="H122" s="155" t="e">
        <f>I109</f>
        <v>#DIV/0!</v>
      </c>
      <c r="I122" s="167">
        <f t="shared" si="4"/>
        <v>14.641098695151385</v>
      </c>
      <c r="J122" s="157"/>
      <c r="K122" s="139"/>
      <c r="L122" s="158"/>
    </row>
    <row r="123" spans="1:30" ht="21" customHeight="1" x14ac:dyDescent="0.3">
      <c r="A123" s="342"/>
      <c r="B123" s="115" t="s">
        <v>191</v>
      </c>
      <c r="C123" s="253"/>
      <c r="D123" s="332" t="e">
        <f t="shared" si="3"/>
        <v>#DIV/0!</v>
      </c>
      <c r="E123" s="333"/>
      <c r="F123" s="92"/>
      <c r="G123" s="154" t="str">
        <f>G110</f>
        <v>EXPLOITATION</v>
      </c>
      <c r="H123" s="155" t="e">
        <f>I110</f>
        <v>#DIV/0!</v>
      </c>
      <c r="I123" s="167">
        <f t="shared" si="4"/>
        <v>65.433883716714618</v>
      </c>
      <c r="J123" s="157"/>
      <c r="K123" s="139"/>
      <c r="L123" s="158"/>
    </row>
    <row r="124" spans="1:30" ht="21" customHeight="1" x14ac:dyDescent="0.3">
      <c r="A124" s="336" t="s">
        <v>39</v>
      </c>
      <c r="B124" s="115" t="s">
        <v>5</v>
      </c>
      <c r="C124" s="253"/>
      <c r="D124" s="332" t="e">
        <f t="shared" si="3"/>
        <v>#DIV/0!</v>
      </c>
      <c r="E124" s="333"/>
      <c r="F124" s="92"/>
      <c r="G124" s="154" t="str">
        <f>G113</f>
        <v>AUTRES</v>
      </c>
      <c r="H124" s="155" t="e">
        <f>I113</f>
        <v>#DIV/0!</v>
      </c>
      <c r="I124" s="167">
        <f t="shared" si="4"/>
        <v>10.772352824879945</v>
      </c>
      <c r="J124" s="157"/>
      <c r="K124" s="139"/>
      <c r="L124" s="158"/>
    </row>
    <row r="125" spans="1:30" ht="21" customHeight="1" x14ac:dyDescent="0.3">
      <c r="A125" s="337"/>
      <c r="B125" s="115" t="s">
        <v>6</v>
      </c>
      <c r="C125" s="253"/>
      <c r="D125" s="332" t="e">
        <f t="shared" si="3"/>
        <v>#DIV/0!</v>
      </c>
      <c r="E125" s="333"/>
      <c r="F125" s="92"/>
      <c r="G125" s="154" t="str">
        <f>G114</f>
        <v>TRAVAIL</v>
      </c>
      <c r="H125" s="155" t="e">
        <f>I114</f>
        <v>#DIV/0!</v>
      </c>
      <c r="I125" s="167">
        <f t="shared" si="4"/>
        <v>16.411797270432913</v>
      </c>
      <c r="J125" s="157"/>
      <c r="K125" s="139"/>
      <c r="L125" s="158"/>
      <c r="Z125" s="168" t="s">
        <v>129</v>
      </c>
      <c r="AA125" s="168" t="s">
        <v>133</v>
      </c>
      <c r="AB125" s="168" t="s">
        <v>95</v>
      </c>
      <c r="AC125" s="296" t="s">
        <v>284</v>
      </c>
      <c r="AD125" s="296" t="s">
        <v>283</v>
      </c>
    </row>
    <row r="126" spans="1:30" ht="21" customHeight="1" x14ac:dyDescent="0.4">
      <c r="A126" s="337"/>
      <c r="B126" s="254" t="s">
        <v>179</v>
      </c>
      <c r="C126" s="253"/>
      <c r="D126" s="332" t="e">
        <f t="shared" si="3"/>
        <v>#DIV/0!</v>
      </c>
      <c r="E126" s="333"/>
      <c r="F126" s="114"/>
      <c r="G126" s="154" t="str">
        <f>G115</f>
        <v>INVEST</v>
      </c>
      <c r="H126" s="155" t="e">
        <f>I115</f>
        <v>#DIV/0!</v>
      </c>
      <c r="I126" s="167">
        <f t="shared" si="4"/>
        <v>70.087181862015711</v>
      </c>
      <c r="J126" s="157"/>
      <c r="K126" s="139"/>
      <c r="L126" s="158"/>
      <c r="Z126" s="169" t="s">
        <v>105</v>
      </c>
      <c r="AA126" s="170">
        <v>23.717309818123461</v>
      </c>
      <c r="AB126" s="170">
        <v>45.654648841549864</v>
      </c>
      <c r="AC126" s="170">
        <v>34.573377197383913</v>
      </c>
      <c r="AD126" s="170">
        <v>68.161279894563918</v>
      </c>
    </row>
    <row r="127" spans="1:30" ht="27" customHeight="1" x14ac:dyDescent="0.4">
      <c r="A127" s="330" t="s">
        <v>21</v>
      </c>
      <c r="B127" s="116" t="s">
        <v>192</v>
      </c>
      <c r="C127" s="253"/>
      <c r="D127" s="332" t="e">
        <f t="shared" si="3"/>
        <v>#DIV/0!</v>
      </c>
      <c r="E127" s="333"/>
      <c r="F127" s="114"/>
      <c r="G127" s="154" t="str">
        <f>IF(C15="Cogé","Produit cogé","Produit CH4")</f>
        <v>Produit cogé</v>
      </c>
      <c r="H127" s="159"/>
      <c r="I127" s="156"/>
      <c r="J127" s="155">
        <f>C63</f>
        <v>0</v>
      </c>
      <c r="K127" s="139">
        <f>+IF($C$15="Cogé",AD133,AC133)</f>
        <v>223.4539850282946</v>
      </c>
      <c r="L127" s="158"/>
      <c r="Z127" s="169" t="s">
        <v>130</v>
      </c>
      <c r="AA127" s="170">
        <v>4.5056720361055396</v>
      </c>
      <c r="AB127" s="170">
        <v>11.266998250962201</v>
      </c>
      <c r="AC127" s="170">
        <v>5.6386940576873172</v>
      </c>
      <c r="AD127" s="170">
        <v>14.641098695151385</v>
      </c>
    </row>
    <row r="128" spans="1:30" ht="21" customHeight="1" x14ac:dyDescent="0.4">
      <c r="A128" s="338"/>
      <c r="B128" s="115" t="s">
        <v>14</v>
      </c>
      <c r="C128" s="253"/>
      <c r="D128" s="332" t="e">
        <f t="shared" si="3"/>
        <v>#DIV/0!</v>
      </c>
      <c r="E128" s="333"/>
      <c r="F128" s="94"/>
      <c r="G128" s="154" t="str">
        <f>IF(C15="Cogé","Produit annexe","Produit annexe")</f>
        <v>Produit annexe</v>
      </c>
      <c r="H128" s="160"/>
      <c r="I128" s="156"/>
      <c r="J128" s="161" t="e">
        <f>+J74-J127</f>
        <v>#DIV/0!</v>
      </c>
      <c r="K128" s="139">
        <f>+IF($C$15="Cogé",AD134,AC134)</f>
        <v>26.411510628931779</v>
      </c>
      <c r="L128" s="162"/>
      <c r="Z128" s="169" t="s">
        <v>131</v>
      </c>
      <c r="AA128" s="170">
        <v>25.695073476028629</v>
      </c>
      <c r="AB128" s="170">
        <v>43.909664682523172</v>
      </c>
      <c r="AC128" s="170">
        <v>34.993407120514377</v>
      </c>
      <c r="AD128" s="170">
        <v>65.433883716714618</v>
      </c>
    </row>
    <row r="129" spans="1:31" ht="31.8" thickBot="1" x14ac:dyDescent="0.45">
      <c r="A129" s="330" t="s">
        <v>86</v>
      </c>
      <c r="B129" s="115" t="s">
        <v>227</v>
      </c>
      <c r="C129" s="253"/>
      <c r="D129" s="332" t="e">
        <f t="shared" si="3"/>
        <v>#DIV/0!</v>
      </c>
      <c r="E129" s="333"/>
      <c r="F129" s="92"/>
      <c r="G129" s="148" t="s">
        <v>84</v>
      </c>
      <c r="H129" s="163"/>
      <c r="I129" s="164"/>
      <c r="J129" s="165"/>
      <c r="K129" s="163"/>
      <c r="L129" s="166" t="e">
        <f>C133/C62</f>
        <v>#DIV/0!</v>
      </c>
      <c r="Z129" s="169" t="s">
        <v>106</v>
      </c>
      <c r="AA129" s="170">
        <v>5.3217918247903313</v>
      </c>
      <c r="AB129" s="170">
        <v>13.188557543233596</v>
      </c>
      <c r="AC129" s="170">
        <v>5.6565528860243131</v>
      </c>
      <c r="AD129" s="170">
        <v>10.772352824879945</v>
      </c>
    </row>
    <row r="130" spans="1:31" ht="21" customHeight="1" x14ac:dyDescent="0.4">
      <c r="A130" s="331"/>
      <c r="B130" s="115" t="s">
        <v>17</v>
      </c>
      <c r="C130" s="253"/>
      <c r="D130" s="332" t="e">
        <f t="shared" si="3"/>
        <v>#DIV/0!</v>
      </c>
      <c r="E130" s="333"/>
      <c r="F130" s="93"/>
      <c r="G130" s="147"/>
      <c r="H130" s="147"/>
      <c r="I130" s="147"/>
      <c r="O130" s="5"/>
      <c r="Z130" s="169" t="s">
        <v>132</v>
      </c>
      <c r="AA130" s="170">
        <v>7.0073289354663011</v>
      </c>
      <c r="AB130" s="170">
        <v>14.376544347146764</v>
      </c>
      <c r="AC130" s="170">
        <v>8.3011605305550962</v>
      </c>
      <c r="AD130" s="170">
        <v>16.411797270432913</v>
      </c>
    </row>
    <row r="131" spans="1:31" ht="21.6" thickBot="1" x14ac:dyDescent="0.45">
      <c r="A131" s="185"/>
      <c r="B131" s="56" t="s">
        <v>7</v>
      </c>
      <c r="C131" s="121">
        <f>SUM(C106:C130)</f>
        <v>0</v>
      </c>
      <c r="D131" s="334" t="e">
        <f t="shared" si="3"/>
        <v>#DIV/0!</v>
      </c>
      <c r="E131" s="335"/>
      <c r="F131" s="93"/>
      <c r="G131" s="147"/>
      <c r="H131" s="147"/>
      <c r="I131" s="147"/>
      <c r="Z131" s="169" t="s">
        <v>107</v>
      </c>
      <c r="AA131" s="170">
        <v>37.529153486284137</v>
      </c>
      <c r="AB131" s="170">
        <v>78.948553978941248</v>
      </c>
      <c r="AC131" s="170">
        <v>41.563749504792014</v>
      </c>
      <c r="AD131" s="170">
        <v>70.087181862015711</v>
      </c>
    </row>
    <row r="132" spans="1:31" s="5" customFormat="1" ht="12" customHeight="1" thickBot="1" x14ac:dyDescent="0.35">
      <c r="A132" s="32"/>
      <c r="B132" s="32"/>
      <c r="C132" s="32"/>
      <c r="D132" s="32"/>
      <c r="E132" s="32"/>
      <c r="F132" s="93"/>
      <c r="G132" s="147"/>
      <c r="H132" s="147"/>
      <c r="I132" s="147"/>
      <c r="J132" s="26"/>
      <c r="K132" s="7"/>
      <c r="L132" s="7"/>
      <c r="M132" s="7"/>
      <c r="N132" s="7"/>
      <c r="O132"/>
      <c r="Z132"/>
      <c r="AA132"/>
      <c r="AB132"/>
      <c r="AC132"/>
      <c r="AD132"/>
      <c r="AE132"/>
    </row>
    <row r="133" spans="1:31" ht="21.75" customHeight="1" thickBot="1" x14ac:dyDescent="0.45">
      <c r="A133" s="117" t="s">
        <v>8</v>
      </c>
      <c r="B133" s="113"/>
      <c r="C133" s="172">
        <f>C75-C131</f>
        <v>0</v>
      </c>
      <c r="D133" s="172"/>
      <c r="E133" s="173"/>
      <c r="F133" s="92"/>
      <c r="G133" s="147"/>
      <c r="H133" s="147"/>
      <c r="I133" s="147"/>
      <c r="Z133" s="169" t="s">
        <v>144</v>
      </c>
      <c r="AA133" s="186">
        <v>139</v>
      </c>
      <c r="AB133" s="186">
        <v>208</v>
      </c>
      <c r="AC133" s="186">
        <v>134.91</v>
      </c>
      <c r="AD133" s="186">
        <v>223.4539850282946</v>
      </c>
      <c r="AE133" s="5"/>
    </row>
    <row r="134" spans="1:31" ht="14.25" customHeight="1" thickBot="1" x14ac:dyDescent="0.45">
      <c r="B134" s="18"/>
      <c r="C134" s="19"/>
      <c r="D134" s="19"/>
      <c r="E134" s="33"/>
      <c r="F134" s="90"/>
      <c r="G134" s="147"/>
      <c r="H134" s="147"/>
      <c r="I134" s="147"/>
      <c r="J134" s="7"/>
      <c r="Z134" s="169" t="s">
        <v>145</v>
      </c>
      <c r="AA134" s="186">
        <v>3.4</v>
      </c>
      <c r="AB134" s="186">
        <v>27</v>
      </c>
      <c r="AC134" s="298">
        <f>140.45-AC133</f>
        <v>5.539999999999992</v>
      </c>
      <c r="AD134" s="186">
        <v>26.411510628931779</v>
      </c>
    </row>
    <row r="135" spans="1:31" ht="18" x14ac:dyDescent="0.35">
      <c r="A135" s="174" t="s">
        <v>138</v>
      </c>
      <c r="B135" s="175"/>
      <c r="C135" s="176"/>
      <c r="D135" s="176"/>
      <c r="E135" s="177"/>
      <c r="F135" s="178"/>
      <c r="G135" s="179"/>
      <c r="H135" s="179"/>
      <c r="I135" s="179"/>
      <c r="J135" s="137"/>
      <c r="K135" s="180"/>
      <c r="L135" s="181"/>
      <c r="M135" s="181"/>
      <c r="N135" s="182"/>
      <c r="O135" s="20"/>
    </row>
    <row r="136" spans="1:31" s="20" customFormat="1" x14ac:dyDescent="0.3">
      <c r="A136" s="401"/>
      <c r="B136" s="402"/>
      <c r="C136" s="402"/>
      <c r="D136" s="402"/>
      <c r="E136" s="402"/>
      <c r="F136" s="402"/>
      <c r="G136" s="402"/>
      <c r="H136" s="402"/>
      <c r="I136" s="402"/>
      <c r="J136" s="402"/>
      <c r="K136" s="402"/>
      <c r="L136" s="402"/>
      <c r="M136" s="402"/>
      <c r="N136" s="403"/>
      <c r="O136"/>
      <c r="W136"/>
      <c r="X136"/>
      <c r="Y136"/>
      <c r="Z136"/>
      <c r="AA136"/>
      <c r="AB136"/>
      <c r="AC136"/>
      <c r="AD136"/>
      <c r="AE136"/>
    </row>
    <row r="137" spans="1:31" x14ac:dyDescent="0.3">
      <c r="A137" s="401"/>
      <c r="B137" s="402"/>
      <c r="C137" s="402"/>
      <c r="D137" s="402"/>
      <c r="E137" s="402"/>
      <c r="F137" s="402"/>
      <c r="G137" s="402"/>
      <c r="H137" s="402"/>
      <c r="I137" s="402"/>
      <c r="J137" s="402"/>
      <c r="K137" s="402"/>
      <c r="L137" s="402"/>
      <c r="M137" s="402"/>
      <c r="N137" s="403"/>
      <c r="AC137" s="20"/>
      <c r="AD137" s="20"/>
      <c r="AE137" s="20"/>
    </row>
    <row r="138" spans="1:31" x14ac:dyDescent="0.3">
      <c r="A138" s="401"/>
      <c r="B138" s="402"/>
      <c r="C138" s="402"/>
      <c r="D138" s="402"/>
      <c r="E138" s="402"/>
      <c r="F138" s="402"/>
      <c r="G138" s="402"/>
      <c r="H138" s="402"/>
      <c r="I138" s="402"/>
      <c r="J138" s="402"/>
      <c r="K138" s="402"/>
      <c r="L138" s="402"/>
      <c r="M138" s="402"/>
      <c r="N138" s="403"/>
    </row>
    <row r="139" spans="1:31" ht="16.2" thickBot="1" x14ac:dyDescent="0.35">
      <c r="A139" s="404"/>
      <c r="B139" s="405"/>
      <c r="C139" s="405"/>
      <c r="D139" s="405"/>
      <c r="E139" s="405"/>
      <c r="F139" s="405"/>
      <c r="G139" s="405"/>
      <c r="H139" s="405"/>
      <c r="I139" s="405"/>
      <c r="J139" s="405"/>
      <c r="K139" s="405"/>
      <c r="L139" s="405"/>
      <c r="M139" s="405"/>
      <c r="N139" s="406"/>
    </row>
    <row r="140" spans="1:31" x14ac:dyDescent="0.3">
      <c r="J140" s="7"/>
      <c r="N140"/>
    </row>
  </sheetData>
  <sheetProtection algorithmName="SHA-512" hashValue="pj+EhUPcdfnM13okWwV46yTkNOXw8v9Ew9wab+Cw6aErqnmy9J0ROnVQZVIVV0UUwovBidV9HVaFRQEOAGVXVA==" saltValue="GLMSN257BWSIG1jU6ykypg==" spinCount="100000" sheet="1" objects="1" scenarios="1"/>
  <mergeCells count="150">
    <mergeCell ref="A1:N1"/>
    <mergeCell ref="A3:N3"/>
    <mergeCell ref="G5:N5"/>
    <mergeCell ref="G6:N8"/>
    <mergeCell ref="A10:B10"/>
    <mergeCell ref="G10:N10"/>
    <mergeCell ref="A13:C13"/>
    <mergeCell ref="D13:E13"/>
    <mergeCell ref="G13:N30"/>
    <mergeCell ref="C14:E14"/>
    <mergeCell ref="D15:E15"/>
    <mergeCell ref="D16:E16"/>
    <mergeCell ref="C17:E17"/>
    <mergeCell ref="D18:E18"/>
    <mergeCell ref="D19:E19"/>
    <mergeCell ref="D20:E20"/>
    <mergeCell ref="D21:E21"/>
    <mergeCell ref="D23:E23"/>
    <mergeCell ref="D30:E30"/>
    <mergeCell ref="G34:I34"/>
    <mergeCell ref="D35:E35"/>
    <mergeCell ref="D36:E36"/>
    <mergeCell ref="D37:E37"/>
    <mergeCell ref="D38:E38"/>
    <mergeCell ref="D39:E39"/>
    <mergeCell ref="D49:E49"/>
    <mergeCell ref="D50:E50"/>
    <mergeCell ref="A32:B32"/>
    <mergeCell ref="D32:E32"/>
    <mergeCell ref="F32:F45"/>
    <mergeCell ref="D33:E33"/>
    <mergeCell ref="D34:E34"/>
    <mergeCell ref="D40:E40"/>
    <mergeCell ref="D41:E41"/>
    <mergeCell ref="G44:H44"/>
    <mergeCell ref="D47:E47"/>
    <mergeCell ref="D51:E51"/>
    <mergeCell ref="D52:E52"/>
    <mergeCell ref="D54:E54"/>
    <mergeCell ref="D55:E55"/>
    <mergeCell ref="D42:E42"/>
    <mergeCell ref="D43:E43"/>
    <mergeCell ref="D44:E44"/>
    <mergeCell ref="L57:N57"/>
    <mergeCell ref="D58:E58"/>
    <mergeCell ref="H58:I58"/>
    <mergeCell ref="J58:K58"/>
    <mergeCell ref="L58:N58"/>
    <mergeCell ref="H55:I55"/>
    <mergeCell ref="J55:K55"/>
    <mergeCell ref="L55:N55"/>
    <mergeCell ref="D56:E56"/>
    <mergeCell ref="H56:I56"/>
    <mergeCell ref="J56:K56"/>
    <mergeCell ref="L56:N56"/>
    <mergeCell ref="D48:E48"/>
    <mergeCell ref="A60:C60"/>
    <mergeCell ref="D60:E60"/>
    <mergeCell ref="D62:E62"/>
    <mergeCell ref="D63:E63"/>
    <mergeCell ref="D64:E64"/>
    <mergeCell ref="D65:E65"/>
    <mergeCell ref="D57:E57"/>
    <mergeCell ref="H57:I57"/>
    <mergeCell ref="J57:K57"/>
    <mergeCell ref="D69:E69"/>
    <mergeCell ref="G69:I69"/>
    <mergeCell ref="D70:E70"/>
    <mergeCell ref="G70:I70"/>
    <mergeCell ref="D71:E71"/>
    <mergeCell ref="G71:I71"/>
    <mergeCell ref="D66:E66"/>
    <mergeCell ref="G66:I66"/>
    <mergeCell ref="D67:E67"/>
    <mergeCell ref="G67:I67"/>
    <mergeCell ref="D68:E68"/>
    <mergeCell ref="G68:I68"/>
    <mergeCell ref="D75:E75"/>
    <mergeCell ref="G75:I75"/>
    <mergeCell ref="A77:C77"/>
    <mergeCell ref="D77:E77"/>
    <mergeCell ref="D78:E78"/>
    <mergeCell ref="D79:E79"/>
    <mergeCell ref="D72:E72"/>
    <mergeCell ref="G72:I72"/>
    <mergeCell ref="D73:E73"/>
    <mergeCell ref="G73:J73"/>
    <mergeCell ref="D74:E74"/>
    <mergeCell ref="G74:I74"/>
    <mergeCell ref="D86:E86"/>
    <mergeCell ref="D87:E87"/>
    <mergeCell ref="D88:E88"/>
    <mergeCell ref="D89:E89"/>
    <mergeCell ref="I89:K89"/>
    <mergeCell ref="D90:E90"/>
    <mergeCell ref="I90:K90"/>
    <mergeCell ref="D80:E80"/>
    <mergeCell ref="D81:E81"/>
    <mergeCell ref="D82:E82"/>
    <mergeCell ref="D83:E83"/>
    <mergeCell ref="D84:E84"/>
    <mergeCell ref="D85:E85"/>
    <mergeCell ref="D98:E98"/>
    <mergeCell ref="D99:E99"/>
    <mergeCell ref="D100:E100"/>
    <mergeCell ref="D101:E101"/>
    <mergeCell ref="D102:E102"/>
    <mergeCell ref="D103:E103"/>
    <mergeCell ref="A92:C92"/>
    <mergeCell ref="D92:E92"/>
    <mergeCell ref="D94:E94"/>
    <mergeCell ref="D95:E95"/>
    <mergeCell ref="D96:E96"/>
    <mergeCell ref="D97:E97"/>
    <mergeCell ref="H111:H112"/>
    <mergeCell ref="D112:E112"/>
    <mergeCell ref="D113:E113"/>
    <mergeCell ref="D114:E114"/>
    <mergeCell ref="D115:E115"/>
    <mergeCell ref="A105:C105"/>
    <mergeCell ref="D105:E105"/>
    <mergeCell ref="A106:A108"/>
    <mergeCell ref="D106:E106"/>
    <mergeCell ref="D107:E107"/>
    <mergeCell ref="D108:E108"/>
    <mergeCell ref="D116:E116"/>
    <mergeCell ref="D117:E117"/>
    <mergeCell ref="D118:E118"/>
    <mergeCell ref="D119:E119"/>
    <mergeCell ref="D120:E120"/>
    <mergeCell ref="D121:E121"/>
    <mergeCell ref="A109:A110"/>
    <mergeCell ref="D109:E109"/>
    <mergeCell ref="D110:E110"/>
    <mergeCell ref="A111:A123"/>
    <mergeCell ref="D111:E111"/>
    <mergeCell ref="D131:E131"/>
    <mergeCell ref="A136:N139"/>
    <mergeCell ref="A127:A128"/>
    <mergeCell ref="D127:E127"/>
    <mergeCell ref="D128:E128"/>
    <mergeCell ref="A129:A130"/>
    <mergeCell ref="D129:E129"/>
    <mergeCell ref="D130:E130"/>
    <mergeCell ref="D122:E122"/>
    <mergeCell ref="D123:E123"/>
    <mergeCell ref="A124:A126"/>
    <mergeCell ref="D124:E124"/>
    <mergeCell ref="D125:E125"/>
    <mergeCell ref="D126:E126"/>
  </mergeCells>
  <conditionalFormatting sqref="B44">
    <cfRule type="cellIs" dxfId="33" priority="13" operator="equal">
      <formula>"Autre, Préciser :"</formula>
    </cfRule>
  </conditionalFormatting>
  <conditionalFormatting sqref="B57">
    <cfRule type="cellIs" dxfId="32" priority="5" operator="equal">
      <formula>"Autre, Préciser :"</formula>
    </cfRule>
  </conditionalFormatting>
  <conditionalFormatting sqref="B73">
    <cfRule type="cellIs" dxfId="31" priority="4" operator="equal">
      <formula>"Autre, Préciser :"</formula>
    </cfRule>
  </conditionalFormatting>
  <conditionalFormatting sqref="B126">
    <cfRule type="cellIs" dxfId="30" priority="17" operator="equal">
      <formula>"Autre, Préciser :"</formula>
    </cfRule>
  </conditionalFormatting>
  <conditionalFormatting sqref="C33:C45">
    <cfRule type="cellIs" dxfId="29" priority="12" operator="equal">
      <formula>"Obligatoire"</formula>
    </cfRule>
  </conditionalFormatting>
  <conditionalFormatting sqref="C48:C51">
    <cfRule type="cellIs" dxfId="28" priority="15" operator="equal">
      <formula>"Obligatoire"</formula>
    </cfRule>
  </conditionalFormatting>
  <conditionalFormatting sqref="C55:C57">
    <cfRule type="cellIs" dxfId="27" priority="14" operator="equal">
      <formula>"Obligatoire"</formula>
    </cfRule>
  </conditionalFormatting>
  <conditionalFormatting sqref="C61:C75">
    <cfRule type="cellIs" dxfId="26" priority="1" operator="equal">
      <formula>"Obligatoire"</formula>
    </cfRule>
  </conditionalFormatting>
  <conditionalFormatting sqref="C94:C98">
    <cfRule type="cellIs" dxfId="25" priority="8" operator="equal">
      <formula>"Obligatoire"</formula>
    </cfRule>
  </conditionalFormatting>
  <conditionalFormatting sqref="C106:C131">
    <cfRule type="cellIs" dxfId="24" priority="2" operator="equal">
      <formula>"Obligatoire"</formula>
    </cfRule>
  </conditionalFormatting>
  <conditionalFormatting sqref="C93:D93">
    <cfRule type="cellIs" dxfId="23" priority="11" operator="equal">
      <formula>"Obligatoire"</formula>
    </cfRule>
  </conditionalFormatting>
  <conditionalFormatting sqref="C14:E15 C16:D16 C17 C18:D21">
    <cfRule type="cellIs" dxfId="22" priority="16" operator="equal">
      <formula>"Obligatoire"</formula>
    </cfRule>
  </conditionalFormatting>
  <conditionalFormatting sqref="C22:E24">
    <cfRule type="cellIs" dxfId="21" priority="7" operator="equal">
      <formula>"Obligatoire"</formula>
    </cfRule>
  </conditionalFormatting>
  <conditionalFormatting sqref="D33">
    <cfRule type="cellIs" dxfId="20" priority="3" operator="equal">
      <formula>"Obligatoire"</formula>
    </cfRule>
  </conditionalFormatting>
  <conditionalFormatting sqref="D25:E26 C25:C29">
    <cfRule type="cellIs" dxfId="19" priority="9" operator="equal">
      <formula>"Obligatoire"</formula>
    </cfRule>
  </conditionalFormatting>
  <conditionalFormatting sqref="D61:E61">
    <cfRule type="cellIs" dxfId="18" priority="6" operator="equal">
      <formula>"Obligatoire"</formula>
    </cfRule>
  </conditionalFormatting>
  <conditionalFormatting sqref="H89">
    <cfRule type="cellIs" dxfId="17" priority="10" operator="greaterThan">
      <formula>0.15</formula>
    </cfRule>
  </conditionalFormatting>
  <dataValidations count="7">
    <dataValidation type="list" allowBlank="1" showInputMessage="1" showErrorMessage="1" sqref="C21" xr:uid="{00276CBA-74D3-4CEB-83EA-FACAA2BA77E8}">
      <formula1>"Déclaration,Enregistrement,Autorisation"</formula1>
    </dataValidation>
    <dataValidation type="list" allowBlank="1" showInputMessage="1" showErrorMessage="1" sqref="C15" xr:uid="{43AD1A12-29CA-4A73-909E-5DD6FBA56FAE}">
      <formula1>"Cogé,Injection,A REMPLIR"</formula1>
    </dataValidation>
    <dataValidation type="list" allowBlank="1" showInputMessage="1" showErrorMessage="1" sqref="C18" xr:uid="{F8C154DF-9A97-4EC8-824A-14C24E6C316D}">
      <formula1>$Y$18:$Y$21</formula1>
    </dataValidation>
    <dataValidation type="list" allowBlank="1" showInputMessage="1" showErrorMessage="1" sqref="C32:C33" xr:uid="{BFEB1BDC-37DB-4BDA-9246-12A3239BC267}">
      <formula1>"Prévisionnel,Réalisé"</formula1>
    </dataValidation>
    <dataValidation type="list" allowBlank="1" showInputMessage="1" showErrorMessage="1" sqref="C19" xr:uid="{EB70A805-926E-45C1-8A69-16939AA5C93A}">
      <formula1>"A la ferme,Petit collectif,Territoriale"</formula1>
    </dataValidation>
    <dataValidation type="list" allowBlank="1" showInputMessage="1" showErrorMessage="1" sqref="C20" xr:uid="{8C0E4461-1EB5-4219-9E6A-5F936FC24E29}">
      <formula1>"Majorité effluent, Majorité CIVE,Majorité déchet,Mixte"</formula1>
    </dataValidation>
    <dataValidation type="list" allowBlank="1" showInputMessage="1" showErrorMessage="1" sqref="C20" xr:uid="{285CD08B-269B-4CED-BA50-347492A1C209}">
      <formula1>"Majorité effluents,Majorité CIVE,Majorité déchets,Mixte"</formula1>
    </dataValidation>
  </dataValidations>
  <pageMargins left="0.70866141732283472" right="0.70866141732283472" top="0.19685039370078741" bottom="0.15748031496062992" header="0.27559055118110237" footer="0.18"/>
  <pageSetup paperSize="8" fitToHeight="0" orientation="landscape" r:id="rId1"/>
  <headerFooter>
    <oddFooter>&amp;R&amp;P/3</oddFooter>
  </headerFooter>
  <rowBreaks count="1" manualBreakCount="1">
    <brk id="104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3C881-F0D5-403A-8180-05005B526D79}">
  <sheetPr>
    <tabColor theme="9" tint="0.39997558519241921"/>
    <pageSetUpPr fitToPage="1"/>
  </sheetPr>
  <dimension ref="A1:O84"/>
  <sheetViews>
    <sheetView showGridLines="0" zoomScaleNormal="100" workbookViewId="0">
      <pane ySplit="1" topLeftCell="A2" activePane="bottomLeft" state="frozen"/>
      <selection pane="bottomLeft" activeCell="C7" sqref="C7"/>
    </sheetView>
  </sheetViews>
  <sheetFormatPr baseColWidth="10" defaultRowHeight="15.6" x14ac:dyDescent="0.3"/>
  <cols>
    <col min="1" max="1" width="8.09765625" customWidth="1"/>
    <col min="2" max="2" width="44.69921875" customWidth="1"/>
  </cols>
  <sheetData>
    <row r="1" spans="1:15" ht="19.8" x14ac:dyDescent="0.3">
      <c r="A1" s="261"/>
      <c r="B1" s="409" t="s">
        <v>157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</row>
    <row r="3" spans="1:15" x14ac:dyDescent="0.3">
      <c r="C3" t="s">
        <v>156</v>
      </c>
      <c r="D3" s="198">
        <f>'2024'!C14</f>
        <v>0</v>
      </c>
    </row>
    <row r="4" spans="1:15" x14ac:dyDescent="0.3">
      <c r="C4" t="s">
        <v>200</v>
      </c>
      <c r="D4" t="str">
        <f>'2024'!C15</f>
        <v>Cogé</v>
      </c>
    </row>
    <row r="5" spans="1:15" ht="16.2" thickBot="1" x14ac:dyDescent="0.35"/>
    <row r="6" spans="1:15" ht="16.2" thickBot="1" x14ac:dyDescent="0.35">
      <c r="C6" s="455" t="s">
        <v>148</v>
      </c>
      <c r="D6" s="456"/>
      <c r="E6" s="456"/>
      <c r="F6" s="457"/>
    </row>
    <row r="7" spans="1:15" x14ac:dyDescent="0.3">
      <c r="A7" s="461" t="s">
        <v>149</v>
      </c>
      <c r="B7" s="462"/>
      <c r="C7" s="262">
        <v>2025</v>
      </c>
      <c r="D7" s="262">
        <v>2024</v>
      </c>
      <c r="E7" s="262">
        <v>2023</v>
      </c>
      <c r="F7" s="263">
        <v>2020</v>
      </c>
    </row>
    <row r="8" spans="1:15" x14ac:dyDescent="0.3">
      <c r="A8" s="453" t="s">
        <v>151</v>
      </c>
      <c r="B8" s="12" t="s">
        <v>69</v>
      </c>
      <c r="C8" s="199" t="str">
        <f ca="1">IF(ISERROR(INDIRECT(C$7&amp;"!c78")),"",INDIRECT(C$7&amp;"!c78"))</f>
        <v/>
      </c>
      <c r="D8" s="199">
        <f ca="1">IF(ISERROR(INDIRECT(D$7&amp;"!c78")),"",INDIRECT(D$7&amp;"!c78"))</f>
        <v>0</v>
      </c>
      <c r="E8" s="199" t="str">
        <f ca="1">IF(ISERROR(INDIRECT(E$7&amp;"!c78")),"",INDIRECT(E$7&amp;"!c78"))</f>
        <v/>
      </c>
      <c r="F8" s="205" t="str">
        <f ca="1">IF(ISERROR(INDIRECT(F$7&amp;"!c78")),"",INDIRECT(F$7&amp;"!c78"))</f>
        <v/>
      </c>
    </row>
    <row r="9" spans="1:15" x14ac:dyDescent="0.3">
      <c r="A9" s="453"/>
      <c r="B9" s="12" t="s">
        <v>70</v>
      </c>
      <c r="C9" s="199" t="str">
        <f ca="1">IF(ISERROR(INDIRECT(C$7&amp;"!c79")),"",INDIRECT(C$7&amp;"!c79"))</f>
        <v/>
      </c>
      <c r="D9" s="199">
        <f ca="1">IF(ISERROR(INDIRECT(D$7&amp;"!c79")),"",INDIRECT(D$7&amp;"!c79"))</f>
        <v>0</v>
      </c>
      <c r="E9" s="199" t="str">
        <f ca="1">IF(ISERROR(INDIRECT(E$7&amp;"!c79")),"",INDIRECT(E$7&amp;"!c79"))</f>
        <v/>
      </c>
      <c r="F9" s="205" t="str">
        <f ca="1">IF(ISERROR(INDIRECT(F$7&amp;"!c79")),"",INDIRECT(F$7&amp;"!c79"))</f>
        <v/>
      </c>
    </row>
    <row r="10" spans="1:15" x14ac:dyDescent="0.3">
      <c r="A10" s="453"/>
      <c r="B10" s="59" t="s">
        <v>165</v>
      </c>
      <c r="C10" s="199" t="str">
        <f ca="1">IF(ISERROR(INDIRECT(C$7&amp;"!c80")),"",INDIRECT(C$7&amp;"!c80"))</f>
        <v/>
      </c>
      <c r="D10" s="199">
        <f ca="1">IF(ISERROR(INDIRECT(D$7&amp;"!c80")),"",INDIRECT(D$7&amp;"!c80"))</f>
        <v>0</v>
      </c>
      <c r="E10" s="199" t="str">
        <f ca="1">IF(ISERROR(INDIRECT(E$7&amp;"!c80")),"",INDIRECT(E$7&amp;"!c80"))</f>
        <v/>
      </c>
      <c r="F10" s="205" t="str">
        <f ca="1">IF(ISERROR(INDIRECT(F$7&amp;"!c80")),"",INDIRECT(F$7&amp;"!c80"))</f>
        <v/>
      </c>
    </row>
    <row r="11" spans="1:15" x14ac:dyDescent="0.3">
      <c r="A11" s="453"/>
      <c r="B11" s="59" t="s">
        <v>72</v>
      </c>
      <c r="C11" s="199" t="str">
        <f ca="1">IF(ISERROR(INDIRECT(C$7&amp;"!c81")),"",INDIRECT(C$7&amp;"!c81"))</f>
        <v/>
      </c>
      <c r="D11" s="199">
        <f ca="1">IF(ISERROR(INDIRECT(D$7&amp;"!c81")),"",INDIRECT(D$7&amp;"!c81"))</f>
        <v>0</v>
      </c>
      <c r="E11" s="199" t="str">
        <f ca="1">IF(ISERROR(INDIRECT(E$7&amp;"!c81")),"",INDIRECT(E$7&amp;"!c81"))</f>
        <v/>
      </c>
      <c r="F11" s="205" t="str">
        <f ca="1">IF(ISERROR(INDIRECT(F$7&amp;"!c81")),"",INDIRECT(F$7&amp;"!c81"))</f>
        <v/>
      </c>
    </row>
    <row r="12" spans="1:15" x14ac:dyDescent="0.3">
      <c r="A12" s="453"/>
      <c r="B12" s="59" t="s">
        <v>164</v>
      </c>
      <c r="C12" s="199" t="str">
        <f ca="1">IF(ISERROR(INDIRECT(C$7&amp;"!c82")),"",INDIRECT(C$7&amp;"!c82"))</f>
        <v/>
      </c>
      <c r="D12" s="199">
        <f ca="1">IF(ISERROR(INDIRECT(D$7&amp;"!c82")),"",INDIRECT(D$7&amp;"!c82"))</f>
        <v>0</v>
      </c>
      <c r="E12" s="199" t="str">
        <f ca="1">IF(ISERROR(INDIRECT(E$7&amp;"!c82")),"",INDIRECT(E$7&amp;"!c82"))</f>
        <v/>
      </c>
      <c r="F12" s="205" t="str">
        <f ca="1">IF(ISERROR(INDIRECT(F$7&amp;"!c82")),"",INDIRECT(F$7&amp;"!c82"))</f>
        <v/>
      </c>
    </row>
    <row r="13" spans="1:15" x14ac:dyDescent="0.3">
      <c r="A13" s="453"/>
      <c r="B13" s="59" t="s">
        <v>162</v>
      </c>
      <c r="C13" s="199" t="str">
        <f ca="1">IF(ISERROR(INDIRECT(C$7&amp;"!c83")),"",INDIRECT(C$7&amp;"!c83"))</f>
        <v/>
      </c>
      <c r="D13" s="199">
        <f ca="1">IF(ISERROR(INDIRECT(D$7&amp;"!c83")),"",INDIRECT(D$7&amp;"!c83"))</f>
        <v>0</v>
      </c>
      <c r="E13" s="199" t="str">
        <f ca="1">IF(ISERROR(INDIRECT(E$7&amp;"!c83")),"",INDIRECT(E$7&amp;"!c83"))</f>
        <v/>
      </c>
      <c r="F13" s="205" t="str">
        <f ca="1">IF(ISERROR(INDIRECT(F$7&amp;"!c83")),"",INDIRECT(F$7&amp;"!c83"))</f>
        <v/>
      </c>
    </row>
    <row r="14" spans="1:15" x14ac:dyDescent="0.3">
      <c r="A14" s="453"/>
      <c r="B14" s="59" t="s">
        <v>163</v>
      </c>
      <c r="C14" s="199" t="str">
        <f ca="1">IF(ISERROR(INDIRECT(C$7&amp;"!c84")),"",INDIRECT(C$7&amp;"!c84"))</f>
        <v/>
      </c>
      <c r="D14" s="199">
        <f ca="1">IF(ISERROR(INDIRECT(D$7&amp;"!c84")),"",INDIRECT(D$7&amp;"!c84"))</f>
        <v>0</v>
      </c>
      <c r="E14" s="199" t="str">
        <f ca="1">IF(ISERROR(INDIRECT(E$7&amp;"!c84")),"",INDIRECT(E$7&amp;"!c84"))</f>
        <v/>
      </c>
      <c r="F14" s="205" t="str">
        <f ca="1">IF(ISERROR(INDIRECT(F$7&amp;"!c84")),"",INDIRECT(F$7&amp;"!c84"))</f>
        <v/>
      </c>
    </row>
    <row r="15" spans="1:15" ht="16.2" thickBot="1" x14ac:dyDescent="0.35">
      <c r="A15" s="454"/>
      <c r="B15" s="208" t="s">
        <v>89</v>
      </c>
      <c r="C15" s="206" t="str">
        <f ca="1">IF(ISERROR(INDIRECT(C$7&amp;"!c84")),"",INDIRECT(C$7&amp;"!c85"))</f>
        <v/>
      </c>
      <c r="D15" s="206">
        <f ca="1">IF(ISERROR(INDIRECT(D$7&amp;"!c84")),"",INDIRECT(D$7&amp;"!c85"))</f>
        <v>0</v>
      </c>
      <c r="E15" s="206" t="str">
        <f ca="1">IF(ISERROR(INDIRECT(E$7&amp;"!c84")),"",INDIRECT(E$7&amp;"!c85"))</f>
        <v/>
      </c>
      <c r="F15" s="207" t="str">
        <f ca="1">IF(ISERROR(INDIRECT(F$7&amp;"!c84")),"",INDIRECT(F$7&amp;"!c85"))</f>
        <v/>
      </c>
    </row>
    <row r="16" spans="1:15" ht="11.25" customHeight="1" thickBot="1" x14ac:dyDescent="0.35">
      <c r="B16" s="134"/>
    </row>
    <row r="17" spans="1:6" x14ac:dyDescent="0.3">
      <c r="A17" s="458" t="s">
        <v>158</v>
      </c>
      <c r="B17" s="201" t="s">
        <v>152</v>
      </c>
      <c r="C17" s="202" t="e">
        <f ca="1">IF(C7="","",INDIRECT(C$7&amp;"!c61"))</f>
        <v>#REF!</v>
      </c>
      <c r="D17" s="202">
        <f ca="1">IF(D7="","",INDIRECT(D$7&amp;"!c61"))</f>
        <v>0</v>
      </c>
      <c r="E17" s="202" t="e">
        <f ca="1">IF(E7="","",INDIRECT(E$7&amp;"!c61"))</f>
        <v>#REF!</v>
      </c>
      <c r="F17" s="203" t="e">
        <f ca="1">IF(F7="","",INDIRECT(F$7&amp;"!c61"))</f>
        <v>#REF!</v>
      </c>
    </row>
    <row r="18" spans="1:6" x14ac:dyDescent="0.3">
      <c r="A18" s="459"/>
      <c r="B18" s="59" t="s">
        <v>30</v>
      </c>
      <c r="C18" s="200" t="e">
        <f ca="1">IF(C7="","",INDIRECT(C$7&amp;"!i62"))</f>
        <v>#REF!</v>
      </c>
      <c r="D18" s="200">
        <f ca="1">IF(D7="","",INDIRECT(D$7&amp;"!i62"))</f>
        <v>0</v>
      </c>
      <c r="E18" s="200" t="e">
        <f ca="1">IF(E7="","",INDIRECT(E$7&amp;"!i62"))</f>
        <v>#REF!</v>
      </c>
      <c r="F18" s="200" t="e">
        <f ca="1">IF(F7="","",INDIRECT(F$7&amp;"!i62"))</f>
        <v>#REF!</v>
      </c>
    </row>
    <row r="19" spans="1:6" x14ac:dyDescent="0.3">
      <c r="A19" s="459"/>
      <c r="B19" s="59" t="s">
        <v>150</v>
      </c>
      <c r="C19" s="200" t="e">
        <f ca="1">IF(C7="","",INDIRECT(C$7&amp;"!i63"))</f>
        <v>#REF!</v>
      </c>
      <c r="D19" s="200" t="e">
        <f ca="1">IF(D7="","",INDIRECT(D$7&amp;"!i63"))</f>
        <v>#DIV/0!</v>
      </c>
      <c r="E19" s="200" t="e">
        <f ca="1">IF(E7="","",INDIRECT(E$7&amp;"!i63"))</f>
        <v>#REF!</v>
      </c>
      <c r="F19" s="200" t="e">
        <f ca="1">IF(F7="","",INDIRECT(F$7&amp;"!i63"))</f>
        <v>#REF!</v>
      </c>
    </row>
    <row r="20" spans="1:6" x14ac:dyDescent="0.3">
      <c r="A20" s="459"/>
      <c r="B20" s="59" t="str">
        <f>+IF($D$4="cogé","MWH élec vendus/an ","MWH injec vendus/an")</f>
        <v xml:space="preserve">MWH élec vendus/an </v>
      </c>
      <c r="C20" s="199" t="e">
        <f ca="1">IF(C7="","",INDIRECT(C$7&amp;"!c62"))</f>
        <v>#REF!</v>
      </c>
      <c r="D20" s="199">
        <f ca="1">IF(D7="","",INDIRECT(D$7&amp;"!c62"))</f>
        <v>0</v>
      </c>
      <c r="E20" s="199" t="e">
        <f ca="1">IF(E7="","",INDIRECT(E$7&amp;"!c62"))</f>
        <v>#REF!</v>
      </c>
      <c r="F20" s="205" t="e">
        <f ca="1">IF(F7="","",INDIRECT(F$7&amp;"!c62"))</f>
        <v>#REF!</v>
      </c>
    </row>
    <row r="21" spans="1:6" x14ac:dyDescent="0.3">
      <c r="A21" s="459"/>
      <c r="B21" s="59" t="str">
        <f>IF($D$4="cogé","MWH thermie valorisée extérieur","MWH méthane hors inj et chaudière ")</f>
        <v>MWH thermie valorisée extérieur</v>
      </c>
      <c r="C21" s="199" t="e">
        <f ca="1">IF(C7="","",INDIRECT(C$7&amp;"!c64"))</f>
        <v>#REF!</v>
      </c>
      <c r="D21" s="199">
        <f ca="1">IF(D7="","",INDIRECT(D$7&amp;"!c64"))</f>
        <v>0</v>
      </c>
      <c r="E21" s="199" t="e">
        <f ca="1">IF(E7="","",INDIRECT(E$7&amp;"!c64"))</f>
        <v>#REF!</v>
      </c>
      <c r="F21" s="205" t="e">
        <f ca="1">IF(F7="","",INDIRECT(F$7&amp;"!c64"))</f>
        <v>#REF!</v>
      </c>
    </row>
    <row r="22" spans="1:6" ht="15.75" customHeight="1" x14ac:dyDescent="0.3">
      <c r="A22" s="459" t="s">
        <v>159</v>
      </c>
      <c r="B22" s="98" t="str">
        <f>IF($D$4="cogé","","Conso électricité partie épurateur")</f>
        <v/>
      </c>
      <c r="C22" s="199" t="str">
        <f ca="1">IF(D4="cogé","",IF(C7="","",INDIRECT(C$7&amp;"!c94")))</f>
        <v/>
      </c>
      <c r="D22" s="199" t="str">
        <f ca="1">IF(D4="cogé","",IF(D7="","",INDIRECT(D$7&amp;"!c94")))</f>
        <v/>
      </c>
      <c r="E22" s="199" t="str">
        <f ca="1">IF(D4="cogé","",IF(E7="","",INDIRECT(E$7&amp;"!c94")))</f>
        <v/>
      </c>
      <c r="F22" s="199" t="str">
        <f ca="1">IF(D4="cogé","",IF(F7="","",INDIRECT(F$7&amp;"!c94")))</f>
        <v/>
      </c>
    </row>
    <row r="23" spans="1:6" ht="15.75" customHeight="1" x14ac:dyDescent="0.3">
      <c r="A23" s="459"/>
      <c r="B23" s="98" t="str">
        <f>IF($D$4="cogé","Conso électricité du site","Conso électricité du site hors épurateur")</f>
        <v>Conso électricité du site</v>
      </c>
      <c r="C23" s="199" t="e">
        <f ca="1">IF($C$7="","",INDIRECT(C$7&amp;"!c96"))</f>
        <v>#REF!</v>
      </c>
      <c r="D23" s="199">
        <f ca="1">IF(D7="","",INDIRECT(D$7&amp;"!c96"))</f>
        <v>0</v>
      </c>
      <c r="E23" s="199" t="e">
        <f ca="1">IF(E7="","",INDIRECT(E$7&amp;"!c96"))</f>
        <v>#REF!</v>
      </c>
      <c r="F23" s="205" t="e">
        <f ca="1">IF(F7="","",INDIRECT(F$7&amp;"!c96"))</f>
        <v>#REF!</v>
      </c>
    </row>
    <row r="24" spans="1:6" x14ac:dyDescent="0.3">
      <c r="A24" s="459"/>
      <c r="B24" s="98" t="s">
        <v>147</v>
      </c>
      <c r="C24" s="199" t="e">
        <f ca="1">IF(C7="","",INDIRECT(C$7&amp;"!c97"))</f>
        <v>#REF!</v>
      </c>
      <c r="D24" s="199">
        <f ca="1">IF(D7="","",INDIRECT(D$7&amp;"!c97"))</f>
        <v>0</v>
      </c>
      <c r="E24" s="199" t="e">
        <f ca="1">IF(E7="","",INDIRECT(E$7&amp;"!c97"))</f>
        <v>#REF!</v>
      </c>
      <c r="F24" s="205" t="e">
        <f ca="1">IF(F7="","",INDIRECT(F$7&amp;"!c97"))</f>
        <v>#REF!</v>
      </c>
    </row>
    <row r="25" spans="1:6" x14ac:dyDescent="0.3">
      <c r="A25" s="459"/>
      <c r="B25" s="98" t="str">
        <f>+IF($D$4="cogé","Autoconso pour hygiénisation","Achat énergie grise pour hygiénisation")</f>
        <v>Autoconso pour hygiénisation</v>
      </c>
      <c r="C25" s="199" t="e">
        <f ca="1">IF(C7="","",INDIRECT(C$7&amp;"!c99"))</f>
        <v>#REF!</v>
      </c>
      <c r="D25" s="199">
        <f ca="1">IF(D7="","",INDIRECT(D$7&amp;"!c99"))</f>
        <v>0</v>
      </c>
      <c r="E25" s="199" t="e">
        <f ca="1">IF(E7="","",INDIRECT(E$7&amp;"!c99"))</f>
        <v>#REF!</v>
      </c>
      <c r="F25" s="205" t="e">
        <f ca="1">IF(F7="","",INDIRECT(F$7&amp;"!c99"))</f>
        <v>#REF!</v>
      </c>
    </row>
    <row r="26" spans="1:6" x14ac:dyDescent="0.3">
      <c r="A26" s="459"/>
      <c r="B26" s="98" t="str">
        <f>IF($D$4="cogé","Cogé autoconso auxiliaire élec relevé","Autoconsommation biométhane pour chauffage")</f>
        <v>Cogé autoconso auxiliaire élec relevé</v>
      </c>
      <c r="C26" s="199" t="e">
        <f ca="1">IF(C7="","",INDIRECT(C$7&amp;"!c100"))</f>
        <v>#REF!</v>
      </c>
      <c r="D26" s="199">
        <f ca="1">IF(D7="","",INDIRECT(D$7&amp;"!c100"))</f>
        <v>0</v>
      </c>
      <c r="E26" s="199" t="e">
        <f ca="1">IF(E7="","",INDIRECT(E$7&amp;"!c100"))</f>
        <v>#REF!</v>
      </c>
      <c r="F26" s="205" t="e">
        <f ca="1">IF(F7="","",INDIRECT(F$7&amp;"!c100"))</f>
        <v>#REF!</v>
      </c>
    </row>
    <row r="27" spans="1:6" x14ac:dyDescent="0.3">
      <c r="A27" s="459"/>
      <c r="B27" s="98" t="s">
        <v>87</v>
      </c>
      <c r="C27" s="200" t="e">
        <f ca="1">IF(C7="","",INDIRECT(C$7&amp;"!j95"))</f>
        <v>#REF!</v>
      </c>
      <c r="D27" s="200" t="e">
        <f ca="1">IF(D7="","",INDIRECT(D$7&amp;"!j95"))</f>
        <v>#DIV/0!</v>
      </c>
      <c r="E27" s="200" t="e">
        <f ca="1">IF(E7="","",INDIRECT(E$7&amp;"!j95"))</f>
        <v>#REF!</v>
      </c>
      <c r="F27" s="204" t="e">
        <f ca="1">IF(F7="","",INDIRECT(F$7&amp;"!j95"))</f>
        <v>#REF!</v>
      </c>
    </row>
    <row r="28" spans="1:6" x14ac:dyDescent="0.3">
      <c r="A28" s="459"/>
      <c r="B28" s="98" t="s">
        <v>85</v>
      </c>
      <c r="C28" s="200" t="e">
        <f ca="1">IF(C7="","",INDIRECT(C$7&amp;"!j97"))</f>
        <v>#REF!</v>
      </c>
      <c r="D28" s="200">
        <f ca="1">IF(D7="","",INDIRECT(D$7&amp;"!j97"))</f>
        <v>0</v>
      </c>
      <c r="E28" s="200" t="e">
        <f ca="1">IF(E7="","",INDIRECT(E$7&amp;"!j97"))</f>
        <v>#REF!</v>
      </c>
      <c r="F28" s="204" t="e">
        <f ca="1">IF(F7="","",INDIRECT(F$7&amp;"!j97"))</f>
        <v>#REF!</v>
      </c>
    </row>
    <row r="29" spans="1:6" x14ac:dyDescent="0.3">
      <c r="A29" s="459"/>
      <c r="B29" s="12" t="str">
        <f>IF($D$4="cogé","% conso auxiliaire/vente réseau","% Conso biométhane sur chaudière")</f>
        <v>% conso auxiliaire/vente réseau</v>
      </c>
      <c r="C29" s="214" t="e">
        <f ca="1">IF(C7="","",INDIRECT(C$7&amp;"!j94"))</f>
        <v>#REF!</v>
      </c>
      <c r="D29" s="214" t="e">
        <f ca="1">IF(D7="","",INDIRECT(D$7&amp;"!j94"))</f>
        <v>#DIV/0!</v>
      </c>
      <c r="E29" s="214" t="e">
        <f ca="1">IF(E7="","",INDIRECT(E$7&amp;"!j94"))</f>
        <v>#REF!</v>
      </c>
      <c r="F29" s="216" t="e">
        <f ca="1">IF(F7="","",INDIRECT(F$7&amp;"!j94"))</f>
        <v>#REF!</v>
      </c>
    </row>
    <row r="30" spans="1:6" x14ac:dyDescent="0.3">
      <c r="A30" s="459"/>
      <c r="B30" s="98" t="str">
        <f>IF($D$4="cogé","","Temps fonctionnement chaudière")</f>
        <v/>
      </c>
      <c r="C30" s="199" t="e">
        <f ca="1">IF(C7="","",INDIRECT(C$7&amp;"!c101"))</f>
        <v>#REF!</v>
      </c>
      <c r="D30" s="199">
        <f ca="1">IF(D7="","",INDIRECT(D$7&amp;"!c101"))</f>
        <v>0</v>
      </c>
      <c r="E30" s="199" t="e">
        <f ca="1">IF(E7="","",INDIRECT(E$7&amp;"!c101"))</f>
        <v>#REF!</v>
      </c>
      <c r="F30" s="205" t="e">
        <f ca="1">IF(F7="","",INDIRECT(F$7&amp;"!c101"))</f>
        <v>#REF!</v>
      </c>
    </row>
    <row r="31" spans="1:6" x14ac:dyDescent="0.3">
      <c r="A31" s="459"/>
      <c r="B31" s="98" t="s">
        <v>91</v>
      </c>
      <c r="C31" s="199" t="e">
        <f ca="1">IF(C7="","",INDIRECT(C$7&amp;"!c102"))</f>
        <v>#REF!</v>
      </c>
      <c r="D31" s="199">
        <f ca="1">IF(D7="","",INDIRECT(D$7&amp;"!c102"))</f>
        <v>0</v>
      </c>
      <c r="E31" s="199" t="e">
        <f ca="1">IF(E7="","",INDIRECT(E$7&amp;"!c102"))</f>
        <v>#REF!</v>
      </c>
      <c r="F31" s="205" t="e">
        <f ca="1">IF(F7="","",INDIRECT(F$7&amp;"!c102"))</f>
        <v>#REF!</v>
      </c>
    </row>
    <row r="32" spans="1:6" x14ac:dyDescent="0.3">
      <c r="A32" s="459"/>
      <c r="B32" s="98" t="s">
        <v>92</v>
      </c>
      <c r="C32" s="199" t="e">
        <f ca="1">IF(C7="","",INDIRECT(C$7&amp;"!c103"))</f>
        <v>#REF!</v>
      </c>
      <c r="D32" s="199">
        <f ca="1">IF(D7="","",INDIRECT(D$7&amp;"!c103"))</f>
        <v>0</v>
      </c>
      <c r="E32" s="199" t="e">
        <f ca="1">IF(E7="","",INDIRECT(E$7&amp;"!c103"))</f>
        <v>#REF!</v>
      </c>
      <c r="F32" s="205" t="e">
        <f ca="1">IF(F7="","",INDIRECT(F$7&amp;"!c103"))</f>
        <v>#REF!</v>
      </c>
    </row>
    <row r="33" spans="1:6" ht="16.2" thickBot="1" x14ac:dyDescent="0.35">
      <c r="A33" s="460"/>
      <c r="B33" s="217" t="s">
        <v>168</v>
      </c>
      <c r="C33" s="215" t="e">
        <f ca="1">IF(C7="","",INDIRECT(C$7&amp;"!j96"))</f>
        <v>#REF!</v>
      </c>
      <c r="D33" s="215" t="e">
        <f ca="1">IF(D7="","",INDIRECT(D$7&amp;"!j96"))</f>
        <v>#DIV/0!</v>
      </c>
      <c r="E33" s="215" t="e">
        <f ca="1">IF(E7="","",INDIRECT(E$7&amp;"!j96"))</f>
        <v>#REF!</v>
      </c>
      <c r="F33" s="218" t="e">
        <f ca="1">IF(F7="","",INDIRECT(F$7&amp;"!j96"))</f>
        <v>#REF!</v>
      </c>
    </row>
    <row r="34" spans="1:6" ht="16.2" thickBot="1" x14ac:dyDescent="0.35"/>
    <row r="35" spans="1:6" ht="15.75" customHeight="1" x14ac:dyDescent="0.3">
      <c r="A35" s="465" t="s">
        <v>198</v>
      </c>
      <c r="B35" s="209" t="str">
        <f>IF($D$4="cogé","Vente élect (€)","Vente biométhane (€)")</f>
        <v>Vente élect (€)</v>
      </c>
      <c r="C35" s="202" t="e">
        <f ca="1">IF(C$7="","",INDIRECT(C$7&amp;"!c66"))</f>
        <v>#REF!</v>
      </c>
      <c r="D35" s="202">
        <f ca="1">IF(D$7="","",INDIRECT(D$7&amp;"!c66"))</f>
        <v>0</v>
      </c>
      <c r="E35" s="202" t="e">
        <f ca="1">IF(E$7="","",INDIRECT(E$7&amp;"!c66"))</f>
        <v>#REF!</v>
      </c>
      <c r="F35" s="203" t="e">
        <f ca="1">IF(F$7="","",INDIRECT(F$7&amp;"!c66"))</f>
        <v>#REF!</v>
      </c>
    </row>
    <row r="36" spans="1:6" x14ac:dyDescent="0.3">
      <c r="A36" s="466"/>
      <c r="B36" s="59" t="str">
        <f>IF($D$4="cogé","Vente chaleur (€)","Vente GNV ou autre valo biométhane (€)")</f>
        <v>Vente chaleur (€)</v>
      </c>
      <c r="C36" s="199" t="e">
        <f ca="1">IF(C$7="","",INDIRECT(C$7&amp;"!c68"))</f>
        <v>#REF!</v>
      </c>
      <c r="D36" s="199">
        <f ca="1">IF(D$7="","",INDIRECT(D$7&amp;"!c68"))</f>
        <v>0</v>
      </c>
      <c r="E36" s="199" t="e">
        <f ca="1">IF(E$7="","",INDIRECT(E$7&amp;"!c68"))</f>
        <v>#REF!</v>
      </c>
      <c r="F36" s="205" t="e">
        <f ca="1">IF(F$7="","",INDIRECT(F$7&amp;"!c68"))</f>
        <v>#REF!</v>
      </c>
    </row>
    <row r="37" spans="1:6" x14ac:dyDescent="0.3">
      <c r="A37" s="466"/>
      <c r="B37" s="59" t="str">
        <f>IF($D$4="cogé","Vente gaz pour valo bioGNV (€)","Valeur GO (€)")</f>
        <v>Vente gaz pour valo bioGNV (€)</v>
      </c>
      <c r="C37" s="199" t="e">
        <f ca="1">IF(C$7="","",INDIRECT(C$7&amp;"!c69"))</f>
        <v>#REF!</v>
      </c>
      <c r="D37" s="199">
        <f ca="1">IF(D$7="","",INDIRECT(D$7&amp;"!c69"))</f>
        <v>0</v>
      </c>
      <c r="E37" s="199" t="e">
        <f ca="1">IF(E$7="","",INDIRECT(E$7&amp;"!c69"))</f>
        <v>#REF!</v>
      </c>
      <c r="F37" s="205" t="e">
        <f ca="1">IF(F$7="","",INDIRECT(F$7&amp;"!c69"))</f>
        <v>#REF!</v>
      </c>
    </row>
    <row r="38" spans="1:6" x14ac:dyDescent="0.3">
      <c r="A38" s="466"/>
      <c r="B38" s="59" t="s">
        <v>212</v>
      </c>
      <c r="C38" s="199" t="e">
        <f ca="1">IF(C$7="","",INDIRECT(C$7&amp;"!c71"))</f>
        <v>#REF!</v>
      </c>
      <c r="D38" s="199">
        <f ca="1">IF(D$7="","",INDIRECT(D$7&amp;"!c71"))</f>
        <v>0</v>
      </c>
      <c r="E38" s="199" t="e">
        <f ca="1">IF(E$7="","",INDIRECT(E$7&amp;"!c71"))</f>
        <v>#REF!</v>
      </c>
      <c r="F38" s="205" t="e">
        <f ca="1">IF(F$7="","",INDIRECT(F$7&amp;"!c71"))</f>
        <v>#REF!</v>
      </c>
    </row>
    <row r="39" spans="1:6" x14ac:dyDescent="0.3">
      <c r="A39" s="466"/>
      <c r="B39" s="59" t="s">
        <v>213</v>
      </c>
      <c r="C39" s="199" t="e">
        <f ca="1">IF(C$7="","",INDIRECT(C$7&amp;"!c72"))</f>
        <v>#REF!</v>
      </c>
      <c r="D39" s="199">
        <f ca="1">IF(D$7="","",INDIRECT(D$7&amp;"!c72"))</f>
        <v>0</v>
      </c>
      <c r="E39" s="199" t="e">
        <f ca="1">IF(E$7="","",INDIRECT(E$7&amp;"!c72"))</f>
        <v>#REF!</v>
      </c>
      <c r="F39" s="205" t="e">
        <f ca="1">IF(F$7="","",INDIRECT(F$7&amp;"!c72"))</f>
        <v>#REF!</v>
      </c>
    </row>
    <row r="40" spans="1:6" x14ac:dyDescent="0.3">
      <c r="A40" s="466"/>
      <c r="B40" s="260" t="s">
        <v>62</v>
      </c>
      <c r="C40" s="199" t="e">
        <f ca="1">IF(C$7="","",INDIRECT(C$7&amp;"!c73"))</f>
        <v>#REF!</v>
      </c>
      <c r="D40" s="199">
        <f ca="1">IF(D$7="","",INDIRECT(D$7&amp;"!c73"))</f>
        <v>0</v>
      </c>
      <c r="E40" s="199" t="e">
        <f ca="1">IF(E$7="","",INDIRECT(E$7&amp;"!c73"))</f>
        <v>#REF!</v>
      </c>
      <c r="F40" s="205" t="e">
        <f ca="1">IF(F$7="","",INDIRECT(F$7&amp;"!c73"))</f>
        <v>#REF!</v>
      </c>
    </row>
    <row r="41" spans="1:6" x14ac:dyDescent="0.3">
      <c r="A41" s="466"/>
      <c r="B41" s="12" t="str">
        <f>IF($D$4="cogé","Produit cogé en  €/Mwhé","Produit méthane  €/Mwh PCS")</f>
        <v>Produit cogé en  €/Mwhé</v>
      </c>
      <c r="C41" s="199" t="e">
        <f ca="1">IF(C$7="","",C35/C20)</f>
        <v>#REF!</v>
      </c>
      <c r="D41" s="199" t="e">
        <f ca="1">IF(D$7="","",D35/D20)</f>
        <v>#DIV/0!</v>
      </c>
      <c r="E41" s="199" t="e">
        <f ca="1">IF(E$7="","",E35/E20)</f>
        <v>#REF!</v>
      </c>
      <c r="F41" s="205" t="e">
        <f ca="1">IF(F$7="","",F35/F20)</f>
        <v>#REF!</v>
      </c>
    </row>
    <row r="42" spans="1:6" ht="16.2" thickBot="1" x14ac:dyDescent="0.35">
      <c r="A42" s="467"/>
      <c r="B42" s="74" t="str">
        <f>IF($D$4="cogé","Produit annexe en  €/Mwhé","Produit annexe en €/Mwh PCS ")</f>
        <v>Produit annexe en  €/Mwhé</v>
      </c>
      <c r="C42" s="206" t="e">
        <f ca="1">IF(C$7="","",SUM(C36:C40)/C20)</f>
        <v>#REF!</v>
      </c>
      <c r="D42" s="206" t="e">
        <f ca="1">IF(D$7="","",SUM(D36:D40)/D20)</f>
        <v>#DIV/0!</v>
      </c>
      <c r="E42" s="206" t="e">
        <f ca="1">IF(E$7="","",SUM(E36:E40)/E20)</f>
        <v>#REF!</v>
      </c>
      <c r="F42" s="207" t="e">
        <f ca="1">IF(F$7="","",SUM(F36:F40)/F20)</f>
        <v>#REF!</v>
      </c>
    </row>
    <row r="43" spans="1:6" ht="16.2" thickBot="1" x14ac:dyDescent="0.35"/>
    <row r="44" spans="1:6" x14ac:dyDescent="0.3">
      <c r="A44" s="470" t="s">
        <v>160</v>
      </c>
      <c r="B44" s="471"/>
      <c r="C44" s="210">
        <f>+C7</f>
        <v>2025</v>
      </c>
      <c r="D44" s="210">
        <f>+D7</f>
        <v>2024</v>
      </c>
      <c r="E44" s="210">
        <f>+E7</f>
        <v>2023</v>
      </c>
      <c r="F44" s="213">
        <f>+F7</f>
        <v>2020</v>
      </c>
    </row>
    <row r="45" spans="1:6" x14ac:dyDescent="0.3">
      <c r="A45" s="463" t="s">
        <v>18</v>
      </c>
      <c r="B45" s="264" t="s">
        <v>4</v>
      </c>
      <c r="C45" s="199" t="e">
        <f ca="1">IF(C$7="","",INDIRECT(C$7&amp;"!c106"))</f>
        <v>#REF!</v>
      </c>
      <c r="D45" s="199">
        <f ca="1">IF(D$7="","",INDIRECT(D$7&amp;"!c106"))</f>
        <v>0</v>
      </c>
      <c r="E45" s="199" t="e">
        <f ca="1">IF(E$7="","",INDIRECT(E$7&amp;"!c106"))</f>
        <v>#REF!</v>
      </c>
      <c r="F45" s="205" t="e">
        <f ca="1">IF(F$7="","",INDIRECT(F$7&amp;"!c106"))</f>
        <v>#REF!</v>
      </c>
    </row>
    <row r="46" spans="1:6" x14ac:dyDescent="0.3">
      <c r="A46" s="463"/>
      <c r="B46" s="264" t="s">
        <v>124</v>
      </c>
      <c r="C46" s="199" t="e">
        <f ca="1">IF(C$7="","",INDIRECT(C$7&amp;"!c107"))</f>
        <v>#REF!</v>
      </c>
      <c r="D46" s="199">
        <f ca="1">IF(D$7="","",INDIRECT(D$7&amp;"!c107"))</f>
        <v>0</v>
      </c>
      <c r="E46" s="199" t="e">
        <f ca="1">IF(E$7="","",INDIRECT(E$7&amp;"!c107"))</f>
        <v>#REF!</v>
      </c>
      <c r="F46" s="205" t="e">
        <f ca="1">IF(F$7="","",INDIRECT(F$7&amp;"!c107"))</f>
        <v>#REF!</v>
      </c>
    </row>
    <row r="47" spans="1:6" x14ac:dyDescent="0.3">
      <c r="A47" s="463"/>
      <c r="B47" s="12" t="s">
        <v>205</v>
      </c>
      <c r="C47" s="199" t="e">
        <f ca="1">IF(C$7="","",INDIRECT(C$7&amp;"!c108"))</f>
        <v>#REF!</v>
      </c>
      <c r="D47" s="199">
        <f ca="1">IF(D$7="","",INDIRECT(D$7&amp;"!c108"))</f>
        <v>0</v>
      </c>
      <c r="E47" s="199" t="e">
        <f ca="1">IF(E$7="","",INDIRECT(E$7&amp;"!c108"))</f>
        <v>#REF!</v>
      </c>
      <c r="F47" s="205" t="e">
        <f ca="1">IF(F$7="","",INDIRECT(F$7&amp;"!c108"))</f>
        <v>#REF!</v>
      </c>
    </row>
    <row r="48" spans="1:6" x14ac:dyDescent="0.3">
      <c r="A48" s="463" t="s">
        <v>19</v>
      </c>
      <c r="B48" s="264" t="s">
        <v>125</v>
      </c>
      <c r="C48" s="199" t="e">
        <f ca="1">IF(C$7="","",INDIRECT(C$7&amp;"!c109"))</f>
        <v>#REF!</v>
      </c>
      <c r="D48" s="199">
        <f ca="1">IF(D$7="","",INDIRECT(D$7&amp;"!c109"))</f>
        <v>0</v>
      </c>
      <c r="E48" s="199" t="e">
        <f ca="1">IF(E$7="","",INDIRECT(E$7&amp;"!c109"))</f>
        <v>#REF!</v>
      </c>
      <c r="F48" s="205" t="e">
        <f ca="1">IF(F$7="","",INDIRECT(F$7&amp;"!c109"))</f>
        <v>#REF!</v>
      </c>
    </row>
    <row r="49" spans="1:6" x14ac:dyDescent="0.3">
      <c r="A49" s="463"/>
      <c r="B49" s="12" t="s">
        <v>206</v>
      </c>
      <c r="C49" s="199" t="e">
        <f ca="1">IF(C$7="","",INDIRECT(C$7&amp;"!c110"))</f>
        <v>#REF!</v>
      </c>
      <c r="D49" s="199">
        <f ca="1">IF(D$7="","",INDIRECT(D$7&amp;"!c110"))</f>
        <v>0</v>
      </c>
      <c r="E49" s="199" t="e">
        <f ca="1">IF(E$7="","",INDIRECT(E$7&amp;"!c110"))</f>
        <v>#REF!</v>
      </c>
      <c r="F49" s="205" t="e">
        <f ca="1">IF(F$7="","",INDIRECT(F$7&amp;"!c110"))</f>
        <v>#REF!</v>
      </c>
    </row>
    <row r="50" spans="1:6" x14ac:dyDescent="0.3">
      <c r="A50" s="472" t="s">
        <v>20</v>
      </c>
      <c r="B50" s="264" t="s">
        <v>126</v>
      </c>
      <c r="C50" s="199" t="e">
        <f ca="1">IF(C$7="","",INDIRECT(C$7&amp;"!c111"))</f>
        <v>#REF!</v>
      </c>
      <c r="D50" s="199">
        <f ca="1">IF(D$7="","",INDIRECT(D$7&amp;"!c111"))</f>
        <v>0</v>
      </c>
      <c r="E50" s="199" t="e">
        <f ca="1">IF(E$7="","",INDIRECT(E$7&amp;"!c111"))</f>
        <v>#REF!</v>
      </c>
      <c r="F50" s="205" t="e">
        <f ca="1">IF(F$7="","",INDIRECT(F$7&amp;"!c111"))</f>
        <v>#REF!</v>
      </c>
    </row>
    <row r="51" spans="1:6" x14ac:dyDescent="0.3">
      <c r="A51" s="472"/>
      <c r="B51" s="12" t="s">
        <v>204</v>
      </c>
      <c r="C51" s="199" t="e">
        <f ca="1">IF(C$7="","",INDIRECT(C$7&amp;"!c112"))</f>
        <v>#REF!</v>
      </c>
      <c r="D51" s="199">
        <f ca="1">IF(D$7="","",INDIRECT(D$7&amp;"!c112"))</f>
        <v>0</v>
      </c>
      <c r="E51" s="199" t="e">
        <f ca="1">IF(E$7="","",INDIRECT(E$7&amp;"!c112"))</f>
        <v>#REF!</v>
      </c>
      <c r="F51" s="205" t="e">
        <f ca="1">IF(F$7="","",INDIRECT(F$7&amp;"!c112"))</f>
        <v>#REF!</v>
      </c>
    </row>
    <row r="52" spans="1:6" x14ac:dyDescent="0.3">
      <c r="A52" s="472"/>
      <c r="B52" s="264" t="str">
        <f>IF($D$4="cogé","Maintenance/entretien cogénération","Maintenance/entretien épurateur")</f>
        <v>Maintenance/entretien cogénération</v>
      </c>
      <c r="C52" s="199" t="e">
        <f ca="1">IF(C$7="","",INDIRECT(C$7&amp;"!c113"))</f>
        <v>#REF!</v>
      </c>
      <c r="D52" s="199">
        <f ca="1">IF(D$7="","",INDIRECT(D$7&amp;"!c113"))</f>
        <v>0</v>
      </c>
      <c r="E52" s="199" t="e">
        <f ca="1">IF(E$7="","",INDIRECT(E$7&amp;"!c113"))</f>
        <v>#REF!</v>
      </c>
      <c r="F52" s="205" t="e">
        <f ca="1">IF(F$7="","",INDIRECT(F$7&amp;"!c113"))</f>
        <v>#REF!</v>
      </c>
    </row>
    <row r="53" spans="1:6" x14ac:dyDescent="0.3">
      <c r="A53" s="472"/>
      <c r="B53" s="264" t="str">
        <f>IF($D$4="cogé","Maintenance/entretien cogénération (charge amortissable)","Maintenance/entretien épurateur (charge amortissable)")</f>
        <v>Maintenance/entretien cogénération (charge amortissable)</v>
      </c>
      <c r="C53" s="199" t="e">
        <f ca="1">IF(C$7="","",INDIRECT(C$7&amp;"!c114"))</f>
        <v>#REF!</v>
      </c>
      <c r="D53" s="199">
        <f ca="1">IF(D$7="","",INDIRECT(D$7&amp;"!c114"))</f>
        <v>0</v>
      </c>
      <c r="E53" s="199" t="e">
        <f ca="1">IF(E$7="","",INDIRECT(E$7&amp;"!c114"))</f>
        <v>#REF!</v>
      </c>
      <c r="F53" s="205" t="e">
        <f ca="1">IF(F$7="","",INDIRECT(F$7&amp;"!c114"))</f>
        <v>#REF!</v>
      </c>
    </row>
    <row r="54" spans="1:6" x14ac:dyDescent="0.3">
      <c r="A54" s="472"/>
      <c r="B54" s="264" t="s">
        <v>221</v>
      </c>
      <c r="C54" s="199" t="e">
        <f ca="1">IF(C$7="","",INDIRECT(C$7&amp;"!c115"))</f>
        <v>#REF!</v>
      </c>
      <c r="D54" s="199">
        <f ca="1">IF(D$7="","",INDIRECT(D$7&amp;"!c115"))</f>
        <v>0</v>
      </c>
      <c r="E54" s="199" t="e">
        <f ca="1">IF(E$7="","",INDIRECT(E$7&amp;"!c115"))</f>
        <v>#REF!</v>
      </c>
      <c r="F54" s="205" t="e">
        <f ca="1">IF(F$7="","",INDIRECT(F$7&amp;"!c115"))</f>
        <v>#REF!</v>
      </c>
    </row>
    <row r="55" spans="1:6" x14ac:dyDescent="0.3">
      <c r="A55" s="472"/>
      <c r="B55" s="264" t="s">
        <v>228</v>
      </c>
      <c r="C55" s="199" t="e">
        <f ca="1">IF(C$7="","",INDIRECT(C$7&amp;"!c116"))</f>
        <v>#REF!</v>
      </c>
      <c r="D55" s="199">
        <f ca="1">IF(D$7="","",INDIRECT(D$7&amp;"!c116"))</f>
        <v>0</v>
      </c>
      <c r="E55" s="199" t="e">
        <f ca="1">IF(E$7="","",INDIRECT(E$7&amp;"!c116"))</f>
        <v>#REF!</v>
      </c>
      <c r="F55" s="205" t="e">
        <f ca="1">IF(F$7="","",INDIRECT(F$7&amp;"!c116"))</f>
        <v>#REF!</v>
      </c>
    </row>
    <row r="56" spans="1:6" x14ac:dyDescent="0.3">
      <c r="A56" s="472"/>
      <c r="B56" s="12" t="s">
        <v>208</v>
      </c>
      <c r="C56" s="199" t="e">
        <f ca="1">IF(C$7="","",INDIRECT(C$7&amp;"!c117"))</f>
        <v>#REF!</v>
      </c>
      <c r="D56" s="199">
        <f ca="1">IF(D$7="","",INDIRECT(D$7&amp;"!c117"))</f>
        <v>0</v>
      </c>
      <c r="E56" s="199" t="e">
        <f ca="1">IF(E$7="","",INDIRECT(E$7&amp;"!c117"))</f>
        <v>#REF!</v>
      </c>
      <c r="F56" s="205" t="e">
        <f ca="1">IF(F$7="","",INDIRECT(F$7&amp;"!c117"))</f>
        <v>#REF!</v>
      </c>
    </row>
    <row r="57" spans="1:6" x14ac:dyDescent="0.3">
      <c r="A57" s="472"/>
      <c r="B57" s="12" t="s">
        <v>202</v>
      </c>
      <c r="C57" s="199" t="e">
        <f ca="1">IF(C$7="","",INDIRECT(C$7&amp;"!c118"))</f>
        <v>#REF!</v>
      </c>
      <c r="D57" s="199">
        <f ca="1">IF(D$7="","",INDIRECT(D$7&amp;"!c118"))</f>
        <v>0</v>
      </c>
      <c r="E57" s="199" t="e">
        <f ca="1">IF(E$7="","",INDIRECT(E$7&amp;"!c118"))</f>
        <v>#REF!</v>
      </c>
      <c r="F57" s="205" t="e">
        <f ca="1">IF(F$7="","",INDIRECT(F$7&amp;"!c118"))</f>
        <v>#REF!</v>
      </c>
    </row>
    <row r="58" spans="1:6" x14ac:dyDescent="0.3">
      <c r="A58" s="472"/>
      <c r="B58" s="264" t="s">
        <v>166</v>
      </c>
      <c r="C58" s="199" t="e">
        <f ca="1">IF(C$7="","",INDIRECT(C$7&amp;"!c119"))</f>
        <v>#REF!</v>
      </c>
      <c r="D58" s="199">
        <f ca="1">IF(D$7="","",INDIRECT(D$7&amp;"!c119"))</f>
        <v>0</v>
      </c>
      <c r="E58" s="199" t="e">
        <f ca="1">IF(E$7="","",INDIRECT(E$7&amp;"!c119"))</f>
        <v>#REF!</v>
      </c>
      <c r="F58" s="205" t="e">
        <f ca="1">IF(F$7="","",INDIRECT(F$7&amp;"!c119"))</f>
        <v>#REF!</v>
      </c>
    </row>
    <row r="59" spans="1:6" x14ac:dyDescent="0.3">
      <c r="A59" s="472"/>
      <c r="B59" s="264" t="s">
        <v>96</v>
      </c>
      <c r="C59" s="199" t="e">
        <f ca="1">IF(C$7="","",INDIRECT(C$7&amp;"!c120"))</f>
        <v>#REF!</v>
      </c>
      <c r="D59" s="199">
        <f ca="1">IF(D$7="","",INDIRECT(D$7&amp;"!c120"))</f>
        <v>0</v>
      </c>
      <c r="E59" s="199" t="e">
        <f ca="1">IF(E$7="","",INDIRECT(E$7&amp;"!c120"))</f>
        <v>#REF!</v>
      </c>
      <c r="F59" s="205" t="e">
        <f ca="1">IF(F$7="","",INDIRECT(F$7&amp;"!c120"))</f>
        <v>#REF!</v>
      </c>
    </row>
    <row r="60" spans="1:6" x14ac:dyDescent="0.3">
      <c r="A60" s="472"/>
      <c r="B60" s="264" t="s">
        <v>127</v>
      </c>
      <c r="C60" s="199" t="e">
        <f ca="1">IF(C$7="","",INDIRECT(C$7&amp;"!c121"))</f>
        <v>#REF!</v>
      </c>
      <c r="D60" s="199">
        <f ca="1">IF(D$7="","",INDIRECT(D$7&amp;"!c121"))</f>
        <v>0</v>
      </c>
      <c r="E60" s="199" t="e">
        <f ca="1">IF(E$7="","",INDIRECT(E$7&amp;"!c121"))</f>
        <v>#REF!</v>
      </c>
      <c r="F60" s="205" t="e">
        <f ca="1">IF(F$7="","",INDIRECT(F$7&amp;"!c121"))</f>
        <v>#REF!</v>
      </c>
    </row>
    <row r="61" spans="1:6" x14ac:dyDescent="0.3">
      <c r="A61" s="472"/>
      <c r="B61" s="264" t="s">
        <v>142</v>
      </c>
      <c r="C61" s="199" t="e">
        <f ca="1">IF(C$7="","",INDIRECT(C$7&amp;"!c122"))</f>
        <v>#REF!</v>
      </c>
      <c r="D61" s="199">
        <f ca="1">IF(D$7="","",INDIRECT(D$7&amp;"!c122"))</f>
        <v>0</v>
      </c>
      <c r="E61" s="199" t="e">
        <f ca="1">IF(E$7="","",INDIRECT(E$7&amp;"!c122"))</f>
        <v>#REF!</v>
      </c>
      <c r="F61" s="205" t="e">
        <f ca="1">IF(F$7="","",INDIRECT(F$7&amp;"!c122"))</f>
        <v>#REF!</v>
      </c>
    </row>
    <row r="62" spans="1:6" x14ac:dyDescent="0.3">
      <c r="A62" s="472"/>
      <c r="B62" s="12" t="s">
        <v>203</v>
      </c>
      <c r="C62" s="199" t="e">
        <f ca="1">IF(C$7="","",INDIRECT(C$7&amp;"!c123"))</f>
        <v>#REF!</v>
      </c>
      <c r="D62" s="199">
        <f ca="1">IF(D$7="","",INDIRECT(D$7&amp;"!c123"))</f>
        <v>0</v>
      </c>
      <c r="E62" s="199" t="e">
        <f ca="1">IF(E$7="","",INDIRECT(E$7&amp;"!c123"))</f>
        <v>#REF!</v>
      </c>
      <c r="F62" s="205" t="e">
        <f ca="1">IF(F$7="","",INDIRECT(F$7&amp;"!c123"))</f>
        <v>#REF!</v>
      </c>
    </row>
    <row r="63" spans="1:6" x14ac:dyDescent="0.3">
      <c r="A63" s="473" t="s">
        <v>161</v>
      </c>
      <c r="B63" s="264" t="s">
        <v>5</v>
      </c>
      <c r="C63" s="199" t="e">
        <f ca="1">IF(C$7="","",INDIRECT(C$7&amp;"!c124"))</f>
        <v>#REF!</v>
      </c>
      <c r="D63" s="199">
        <f ca="1">IF(D$7="","",INDIRECT(D$7&amp;"!c124"))</f>
        <v>0</v>
      </c>
      <c r="E63" s="199" t="e">
        <f ca="1">IF(E$7="","",INDIRECT(E$7&amp;"!c124"))</f>
        <v>#REF!</v>
      </c>
      <c r="F63" s="205" t="e">
        <f ca="1">IF(F$7="","",INDIRECT(F$7&amp;"!c124"))</f>
        <v>#REF!</v>
      </c>
    </row>
    <row r="64" spans="1:6" x14ac:dyDescent="0.3">
      <c r="A64" s="473"/>
      <c r="B64" s="264" t="s">
        <v>6</v>
      </c>
      <c r="C64" s="199" t="e">
        <f ca="1">IF(C$7="","",INDIRECT(C$7&amp;"!c125"))</f>
        <v>#REF!</v>
      </c>
      <c r="D64" s="199">
        <f ca="1">IF(D$7="","",INDIRECT(D$7&amp;"!c125"))</f>
        <v>0</v>
      </c>
      <c r="E64" s="199" t="e">
        <f ca="1">IF(E$7="","",INDIRECT(E$7&amp;"!c125"))</f>
        <v>#REF!</v>
      </c>
      <c r="F64" s="205" t="e">
        <f ca="1">IF(F$7="","",INDIRECT(F$7&amp;"!c125"))</f>
        <v>#REF!</v>
      </c>
    </row>
    <row r="65" spans="1:6" x14ac:dyDescent="0.3">
      <c r="A65" s="473"/>
      <c r="B65" s="265" t="s">
        <v>62</v>
      </c>
      <c r="C65" s="199" t="e">
        <f ca="1">IF(C$7="","",INDIRECT(C$7&amp;"!c126"))</f>
        <v>#REF!</v>
      </c>
      <c r="D65" s="199">
        <f ca="1">IF(D$7="","",INDIRECT(D$7&amp;"!c126"))</f>
        <v>0</v>
      </c>
      <c r="E65" s="199" t="e">
        <f ca="1">IF(E$7="","",INDIRECT(E$7&amp;"!c126"))</f>
        <v>#REF!</v>
      </c>
      <c r="F65" s="205" t="e">
        <f ca="1">IF(F$7="","",INDIRECT(F$7&amp;"!c126"))</f>
        <v>#REF!</v>
      </c>
    </row>
    <row r="66" spans="1:6" x14ac:dyDescent="0.3">
      <c r="A66" s="463" t="s">
        <v>21</v>
      </c>
      <c r="B66" s="264" t="s">
        <v>167</v>
      </c>
      <c r="C66" s="199" t="e">
        <f ca="1">IF(C$7="","",INDIRECT(C$7&amp;"!c127"))</f>
        <v>#REF!</v>
      </c>
      <c r="D66" s="199">
        <f ca="1">IF(D$7="","",INDIRECT(D$7&amp;"!c127"))</f>
        <v>0</v>
      </c>
      <c r="E66" s="199" t="e">
        <f ca="1">IF(E$7="","",INDIRECT(E$7&amp;"!c127"))</f>
        <v>#REF!</v>
      </c>
      <c r="F66" s="205" t="e">
        <f ca="1">IF(F$7="","",INDIRECT(F$7&amp;"!c127"))</f>
        <v>#REF!</v>
      </c>
    </row>
    <row r="67" spans="1:6" x14ac:dyDescent="0.3">
      <c r="A67" s="463"/>
      <c r="B67" s="12" t="s">
        <v>207</v>
      </c>
      <c r="C67" s="199" t="e">
        <f ca="1">IF(C$7="","",INDIRECT(C$7&amp;"!c128"))</f>
        <v>#REF!</v>
      </c>
      <c r="D67" s="199">
        <f ca="1">IF(D$7="","",INDIRECT(D$7&amp;"!c128"))</f>
        <v>0</v>
      </c>
      <c r="E67" s="199" t="e">
        <f ca="1">IF(E$7="","",INDIRECT(E$7&amp;"!c128"))</f>
        <v>#REF!</v>
      </c>
      <c r="F67" s="205" t="e">
        <f ca="1">IF(F$7="","",INDIRECT(F$7&amp;"!c128"))</f>
        <v>#REF!</v>
      </c>
    </row>
    <row r="68" spans="1:6" ht="30" x14ac:dyDescent="0.3">
      <c r="A68" s="463" t="s">
        <v>86</v>
      </c>
      <c r="B68" s="286" t="s">
        <v>227</v>
      </c>
      <c r="C68" s="199" t="e">
        <f ca="1">IF(C$7="","",INDIRECT(C$7&amp;"!c129"))</f>
        <v>#REF!</v>
      </c>
      <c r="D68" s="199">
        <f ca="1">IF(D$7="","",INDIRECT(D$7&amp;"!c129"))</f>
        <v>0</v>
      </c>
      <c r="E68" s="199" t="e">
        <f ca="1">IF(E$7="","",INDIRECT(E$7&amp;"!c129"))</f>
        <v>#REF!</v>
      </c>
      <c r="F68" s="205" t="e">
        <f ca="1">IF(F$7="","",INDIRECT(F$7&amp;"!c129"))</f>
        <v>#REF!</v>
      </c>
    </row>
    <row r="69" spans="1:6" ht="16.2" thickBot="1" x14ac:dyDescent="0.35">
      <c r="A69" s="464"/>
      <c r="B69" s="266" t="s">
        <v>17</v>
      </c>
      <c r="C69" s="206" t="e">
        <f ca="1">IF(C$7="","",INDIRECT(C$7&amp;"!c130"))</f>
        <v>#REF!</v>
      </c>
      <c r="D69" s="206">
        <f ca="1">IF(D$7="","",INDIRECT(D$7&amp;"!c130"))</f>
        <v>0</v>
      </c>
      <c r="E69" s="206" t="e">
        <f ca="1">IF(E$7="","",INDIRECT(E$7&amp;"!c130"))</f>
        <v>#REF!</v>
      </c>
      <c r="F69" s="207" t="e">
        <f ca="1">IF(F$7="","",INDIRECT(F$7&amp;"!c130"))</f>
        <v>#REF!</v>
      </c>
    </row>
    <row r="70" spans="1:6" ht="16.2" thickBot="1" x14ac:dyDescent="0.35"/>
    <row r="71" spans="1:6" x14ac:dyDescent="0.3">
      <c r="A71" s="219"/>
      <c r="B71" s="225" t="s">
        <v>214</v>
      </c>
      <c r="C71" s="211"/>
      <c r="D71" s="211"/>
      <c r="E71" s="211"/>
      <c r="F71" s="212"/>
    </row>
    <row r="72" spans="1:6" x14ac:dyDescent="0.3">
      <c r="A72" s="468" t="s">
        <v>199</v>
      </c>
      <c r="B72" s="272" t="s">
        <v>105</v>
      </c>
      <c r="C72" s="223" t="e">
        <f ca="1">IF(C$7="","",INDIRECT(C$7&amp;"!j108"))</f>
        <v>#REF!</v>
      </c>
      <c r="D72" s="223" t="e">
        <f ca="1">IF(D$7="","",INDIRECT(D$7&amp;"!j108"))</f>
        <v>#DIV/0!</v>
      </c>
      <c r="E72" s="223" t="e">
        <f ca="1">IF(E$7="","",INDIRECT(E$7&amp;"!j108"))</f>
        <v>#REF!</v>
      </c>
      <c r="F72" s="223" t="e">
        <f ca="1">IF(F$7="","",INDIRECT(F$7&amp;"!j108"))</f>
        <v>#REF!</v>
      </c>
    </row>
    <row r="73" spans="1:6" x14ac:dyDescent="0.3">
      <c r="A73" s="468"/>
      <c r="B73" s="272" t="s">
        <v>169</v>
      </c>
      <c r="C73" s="223" t="e">
        <f ca="1">IF(C$7="","",INDIRECT(C$7&amp;"!j109"))</f>
        <v>#REF!</v>
      </c>
      <c r="D73" s="223" t="e">
        <f ca="1">IF(D$7="","",INDIRECT(D$7&amp;"!j109"))</f>
        <v>#DIV/0!</v>
      </c>
      <c r="E73" s="223" t="e">
        <f ca="1">IF(E$7="","",INDIRECT(E$7&amp;"!j109"))</f>
        <v>#REF!</v>
      </c>
      <c r="F73" s="223" t="e">
        <f ca="1">IF(F$7="","",INDIRECT(F$7&amp;"!j109"))</f>
        <v>#REF!</v>
      </c>
    </row>
    <row r="74" spans="1:6" x14ac:dyDescent="0.3">
      <c r="A74" s="468"/>
      <c r="B74" s="272" t="s">
        <v>131</v>
      </c>
      <c r="C74" s="223" t="e">
        <f ca="1">IF(C$7="","",INDIRECT(C$7&amp;"!j110"))</f>
        <v>#REF!</v>
      </c>
      <c r="D74" s="223" t="e">
        <f ca="1">IF(D$7="","",INDIRECT(D$7&amp;"!j110"))</f>
        <v>#DIV/0!</v>
      </c>
      <c r="E74" s="223" t="e">
        <f ca="1">IF(E$7="","",INDIRECT(E$7&amp;"!j110"))</f>
        <v>#REF!</v>
      </c>
      <c r="F74" s="223" t="e">
        <f ca="1">IF(F$7="","",INDIRECT(F$7&amp;"!j110"))</f>
        <v>#REF!</v>
      </c>
    </row>
    <row r="75" spans="1:6" x14ac:dyDescent="0.3">
      <c r="A75" s="468"/>
      <c r="B75" s="272" t="s">
        <v>170</v>
      </c>
      <c r="C75" s="223" t="e">
        <f ca="1">IF(C$7="","",INDIRECT(C$7&amp;"!j113"))</f>
        <v>#REF!</v>
      </c>
      <c r="D75" s="223" t="e">
        <f ca="1">IF(D$7="","",INDIRECT(D$7&amp;"!j113"))</f>
        <v>#DIV/0!</v>
      </c>
      <c r="E75" s="223" t="e">
        <f ca="1">IF(E$7="","",INDIRECT(E$7&amp;"!j113"))</f>
        <v>#REF!</v>
      </c>
      <c r="F75" s="223" t="e">
        <f ca="1">IF(F$7="","",INDIRECT(F$7&amp;"!j113"))</f>
        <v>#REF!</v>
      </c>
    </row>
    <row r="76" spans="1:6" x14ac:dyDescent="0.3">
      <c r="A76" s="468"/>
      <c r="B76" s="272" t="s">
        <v>171</v>
      </c>
      <c r="C76" s="223" t="e">
        <f ca="1">IF(C$7="","",INDIRECT(C$7&amp;"!j114"))</f>
        <v>#REF!</v>
      </c>
      <c r="D76" s="223" t="e">
        <f ca="1">IF(D$7="","",INDIRECT(D$7&amp;"!j114"))</f>
        <v>#DIV/0!</v>
      </c>
      <c r="E76" s="223" t="e">
        <f ca="1">IF(E$7="","",INDIRECT(E$7&amp;"!j114"))</f>
        <v>#REF!</v>
      </c>
      <c r="F76" s="223" t="e">
        <f ca="1">IF(F$7="","",INDIRECT(F$7&amp;"!j114"))</f>
        <v>#REF!</v>
      </c>
    </row>
    <row r="77" spans="1:6" ht="16.2" thickBot="1" x14ac:dyDescent="0.35">
      <c r="A77" s="468"/>
      <c r="B77" s="273" t="s">
        <v>172</v>
      </c>
      <c r="C77" s="223" t="e">
        <f ca="1">IF(C$7="","",INDIRECT(C$7&amp;"!j115"))</f>
        <v>#REF!</v>
      </c>
      <c r="D77" s="223" t="e">
        <f ca="1">IF(D$7="","",INDIRECT(D$7&amp;"!j115"))</f>
        <v>#DIV/0!</v>
      </c>
      <c r="E77" s="223" t="e">
        <f ca="1">IF(E$7="","",INDIRECT(E$7&amp;"!j115"))</f>
        <v>#REF!</v>
      </c>
      <c r="F77" s="223" t="e">
        <f ca="1">IF(F$7="","",INDIRECT(F$7&amp;"!j115"))</f>
        <v>#REF!</v>
      </c>
    </row>
    <row r="78" spans="1:6" x14ac:dyDescent="0.3">
      <c r="A78" s="468"/>
      <c r="B78" s="220" t="s">
        <v>215</v>
      </c>
      <c r="C78" s="221"/>
      <c r="D78" s="221"/>
      <c r="E78" s="221"/>
      <c r="F78" s="222"/>
    </row>
    <row r="79" spans="1:6" x14ac:dyDescent="0.3">
      <c r="A79" s="468"/>
      <c r="B79" s="272" t="s">
        <v>105</v>
      </c>
      <c r="C79" s="223" t="e">
        <f ca="1">IF(C$7="","",INDIRECT(C$7&amp;"!i108"))</f>
        <v>#REF!</v>
      </c>
      <c r="D79" s="223" t="e">
        <f ca="1">IF(D$7="","",INDIRECT(D$7&amp;"!i108"))</f>
        <v>#DIV/0!</v>
      </c>
      <c r="E79" s="223" t="e">
        <f ca="1">IF(E$7="","",INDIRECT(E$7&amp;"!i108"))</f>
        <v>#REF!</v>
      </c>
      <c r="F79" s="223" t="e">
        <f ca="1">IF(F$7="","",INDIRECT(F$7&amp;"!i108"))</f>
        <v>#REF!</v>
      </c>
    </row>
    <row r="80" spans="1:6" x14ac:dyDescent="0.3">
      <c r="A80" s="468"/>
      <c r="B80" s="272" t="s">
        <v>169</v>
      </c>
      <c r="C80" s="223" t="e">
        <f ca="1">IF(C$7="","",INDIRECT(C$7&amp;"!i109"))</f>
        <v>#REF!</v>
      </c>
      <c r="D80" s="223" t="e">
        <f ca="1">IF(D$7="","",INDIRECT(D$7&amp;"!i109"))</f>
        <v>#DIV/0!</v>
      </c>
      <c r="E80" s="223" t="e">
        <f ca="1">IF(E$7="","",INDIRECT(E$7&amp;"!i109"))</f>
        <v>#REF!</v>
      </c>
      <c r="F80" s="223" t="e">
        <f ca="1">IF(F$7="","",INDIRECT(F$7&amp;"!i109"))</f>
        <v>#REF!</v>
      </c>
    </row>
    <row r="81" spans="1:6" x14ac:dyDescent="0.3">
      <c r="A81" s="468"/>
      <c r="B81" s="272" t="s">
        <v>131</v>
      </c>
      <c r="C81" s="223" t="e">
        <f ca="1">IF(C$7="","",INDIRECT(C$7&amp;"!i110"))</f>
        <v>#REF!</v>
      </c>
      <c r="D81" s="223" t="e">
        <f ca="1">IF(D$7="","",INDIRECT(D$7&amp;"!i110"))</f>
        <v>#DIV/0!</v>
      </c>
      <c r="E81" s="223" t="e">
        <f ca="1">IF(E$7="","",INDIRECT(E$7&amp;"!i110"))</f>
        <v>#REF!</v>
      </c>
      <c r="F81" s="223" t="e">
        <f ca="1">IF(F$7="","",INDIRECT(F$7&amp;"!i110"))</f>
        <v>#REF!</v>
      </c>
    </row>
    <row r="82" spans="1:6" x14ac:dyDescent="0.3">
      <c r="A82" s="468"/>
      <c r="B82" s="272" t="s">
        <v>170</v>
      </c>
      <c r="C82" s="223" t="e">
        <f ca="1">IF(C$7="","",INDIRECT(C$7&amp;"!i113"))</f>
        <v>#REF!</v>
      </c>
      <c r="D82" s="223" t="e">
        <f ca="1">IF(D$7="","",INDIRECT(D$7&amp;"!i113"))</f>
        <v>#DIV/0!</v>
      </c>
      <c r="E82" s="223" t="e">
        <f ca="1">IF(E$7="","",INDIRECT(E$7&amp;"!i113"))</f>
        <v>#REF!</v>
      </c>
      <c r="F82" s="223" t="e">
        <f ca="1">IF(F$7="","",INDIRECT(F$7&amp;"!i113"))</f>
        <v>#REF!</v>
      </c>
    </row>
    <row r="83" spans="1:6" x14ac:dyDescent="0.3">
      <c r="A83" s="468"/>
      <c r="B83" s="272" t="s">
        <v>171</v>
      </c>
      <c r="C83" s="223" t="e">
        <f ca="1">IF(C$7="","",INDIRECT(C$7&amp;"!i114"))</f>
        <v>#REF!</v>
      </c>
      <c r="D83" s="223" t="e">
        <f ca="1">IF(D$7="","",INDIRECT(D$7&amp;"!i114"))</f>
        <v>#DIV/0!</v>
      </c>
      <c r="E83" s="223" t="e">
        <f ca="1">IF(E$7="","",INDIRECT(E$7&amp;"!i114"))</f>
        <v>#REF!</v>
      </c>
      <c r="F83" s="223" t="e">
        <f ca="1">IF(F$7="","",INDIRECT(F$7&amp;"!i114"))</f>
        <v>#REF!</v>
      </c>
    </row>
    <row r="84" spans="1:6" ht="16.2" thickBot="1" x14ac:dyDescent="0.35">
      <c r="A84" s="469"/>
      <c r="B84" s="273" t="s">
        <v>172</v>
      </c>
      <c r="C84" s="224" t="e">
        <f ca="1">IF(C$7="","",INDIRECT(C$7&amp;"!i115"))</f>
        <v>#REF!</v>
      </c>
      <c r="D84" s="224" t="e">
        <f ca="1">IF(D$7="","",INDIRECT(D$7&amp;"!i115"))</f>
        <v>#DIV/0!</v>
      </c>
      <c r="E84" s="224" t="e">
        <f ca="1">IF(E$7="","",INDIRECT(E$7&amp;"!i115"))</f>
        <v>#REF!</v>
      </c>
      <c r="F84" s="224" t="e">
        <f ca="1">IF(F$7="","",INDIRECT(F$7&amp;"!i115"))</f>
        <v>#REF!</v>
      </c>
    </row>
  </sheetData>
  <sheetProtection algorithmName="SHA-512" hashValue="qDomNZfjsNPv9ddyhzXZJNDBNrQJolp311QzMlA/yV/+vuJUe+1vrnSSygkPiAu924QBOVJiOuxDJa5HaOe/xg==" saltValue="0sVwG95uLwjBGfjrM2P+dw==" spinCount="100000" sheet="1" objects="1" scenarios="1"/>
  <mergeCells count="15">
    <mergeCell ref="A66:A67"/>
    <mergeCell ref="A68:A69"/>
    <mergeCell ref="A35:A42"/>
    <mergeCell ref="A72:A84"/>
    <mergeCell ref="A44:B44"/>
    <mergeCell ref="A45:A47"/>
    <mergeCell ref="A48:A49"/>
    <mergeCell ref="A50:A62"/>
    <mergeCell ref="A63:A65"/>
    <mergeCell ref="B1:O1"/>
    <mergeCell ref="A8:A15"/>
    <mergeCell ref="C6:F6"/>
    <mergeCell ref="A17:A21"/>
    <mergeCell ref="A22:A33"/>
    <mergeCell ref="A7:B7"/>
  </mergeCells>
  <pageMargins left="0.28000000000000003" right="0.32" top="0.75" bottom="0.75" header="0.3" footer="0.3"/>
  <pageSetup paperSize="9" scale="65" fitToHeight="0" orientation="landscape" r:id="rId1"/>
  <rowBreaks count="1" manualBreakCount="1">
    <brk id="43" max="14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45267-D530-429A-AC75-1C4D893D5333}">
  <sheetPr>
    <tabColor theme="0" tint="-0.499984740745262"/>
    <pageSetUpPr fitToPage="1"/>
  </sheetPr>
  <dimension ref="A1:AE140"/>
  <sheetViews>
    <sheetView showGridLines="0" zoomScaleNormal="100" zoomScaleSheetLayoutView="100" workbookViewId="0">
      <pane xSplit="1" ySplit="1" topLeftCell="B123" activePane="bottomRight" state="frozen"/>
      <selection pane="topRight" activeCell="B1" sqref="B1"/>
      <selection pane="bottomLeft" activeCell="A2" sqref="A2"/>
      <selection pane="bottomRight" activeCell="B129" sqref="B129"/>
    </sheetView>
  </sheetViews>
  <sheetFormatPr baseColWidth="10" defaultRowHeight="15.6" x14ac:dyDescent="0.3"/>
  <cols>
    <col min="1" max="1" width="4" customWidth="1"/>
    <col min="2" max="2" width="40.8984375" style="1" customWidth="1"/>
    <col min="3" max="3" width="14.09765625" customWidth="1"/>
    <col min="4" max="4" width="4" customWidth="1"/>
    <col min="5" max="5" width="10.09765625" style="28" customWidth="1"/>
    <col min="6" max="6" width="5.5" customWidth="1"/>
    <col min="7" max="7" width="14" customWidth="1"/>
    <col min="8" max="8" width="15.3984375" style="26" customWidth="1"/>
    <col min="9" max="9" width="10.69921875" style="26" customWidth="1"/>
    <col min="10" max="10" width="10.3984375" style="26" customWidth="1"/>
    <col min="11" max="12" width="11.19921875" style="7"/>
    <col min="13" max="13" width="11.5" style="7" bestFit="1" customWidth="1"/>
    <col min="14" max="14" width="14.19921875" style="7" customWidth="1"/>
    <col min="15" max="15" width="40.59765625" bestFit="1" customWidth="1"/>
  </cols>
  <sheetData>
    <row r="1" spans="1:14" ht="23.25" customHeight="1" x14ac:dyDescent="0.3">
      <c r="A1" s="409" t="s">
        <v>197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ht="7.5" customHeight="1" x14ac:dyDescent="0.4">
      <c r="A2" s="66"/>
      <c r="K2" s="11"/>
      <c r="L2" s="11"/>
      <c r="M2" s="11"/>
      <c r="N2" s="11"/>
    </row>
    <row r="3" spans="1:14" ht="15.75" customHeight="1" x14ac:dyDescent="0.3">
      <c r="A3" s="410" t="s">
        <v>223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</row>
    <row r="4" spans="1:14" ht="7.5" customHeight="1" x14ac:dyDescent="0.3"/>
    <row r="5" spans="1:14" ht="17.399999999999999" customHeight="1" x14ac:dyDescent="0.3">
      <c r="B5"/>
      <c r="G5" s="432" t="s">
        <v>180</v>
      </c>
      <c r="H5" s="433"/>
      <c r="I5" s="433"/>
      <c r="J5" s="433"/>
      <c r="K5" s="433"/>
      <c r="L5" s="433"/>
      <c r="M5" s="433"/>
      <c r="N5" s="434"/>
    </row>
    <row r="6" spans="1:14" ht="15.6" customHeight="1" x14ac:dyDescent="0.3">
      <c r="B6" s="135" t="s">
        <v>181</v>
      </c>
      <c r="G6" s="435" t="s">
        <v>224</v>
      </c>
      <c r="H6" s="436"/>
      <c r="I6" s="436"/>
      <c r="J6" s="436"/>
      <c r="K6" s="436"/>
      <c r="L6" s="436"/>
      <c r="M6" s="436"/>
      <c r="N6" s="437"/>
    </row>
    <row r="7" spans="1:14" ht="15" customHeight="1" x14ac:dyDescent="0.4">
      <c r="F7" s="3"/>
      <c r="G7" s="435"/>
      <c r="H7" s="436"/>
      <c r="I7" s="436"/>
      <c r="J7" s="436"/>
      <c r="K7" s="436"/>
      <c r="L7" s="436"/>
      <c r="M7" s="436"/>
      <c r="N7" s="437"/>
    </row>
    <row r="8" spans="1:14" ht="15" customHeight="1" x14ac:dyDescent="0.4">
      <c r="F8" s="3"/>
      <c r="G8" s="438"/>
      <c r="H8" s="439"/>
      <c r="I8" s="439"/>
      <c r="J8" s="439"/>
      <c r="K8" s="439"/>
      <c r="L8" s="439"/>
      <c r="M8" s="439"/>
      <c r="N8" s="440"/>
    </row>
    <row r="9" spans="1:14" ht="9.75" customHeight="1" thickBot="1" x14ac:dyDescent="0.45">
      <c r="A9" s="4"/>
      <c r="B9" s="3"/>
      <c r="C9" s="3"/>
      <c r="D9" s="3"/>
      <c r="E9" s="29"/>
      <c r="F9" s="3"/>
      <c r="G9" s="3"/>
      <c r="H9" s="27"/>
      <c r="I9" s="27"/>
      <c r="J9" s="27"/>
      <c r="K9" s="8"/>
      <c r="L9" s="8"/>
      <c r="M9" s="8"/>
      <c r="N9" s="8"/>
    </row>
    <row r="10" spans="1:14" ht="21.6" thickBot="1" x14ac:dyDescent="0.45">
      <c r="A10" s="411" t="s">
        <v>51</v>
      </c>
      <c r="B10" s="412"/>
      <c r="C10" s="230"/>
      <c r="D10" s="125" t="s">
        <v>115</v>
      </c>
      <c r="E10" s="231"/>
      <c r="F10" s="95"/>
      <c r="G10" s="413" t="s">
        <v>177</v>
      </c>
      <c r="H10" s="414"/>
      <c r="I10" s="414"/>
      <c r="J10" s="414"/>
      <c r="K10" s="414"/>
      <c r="L10" s="414"/>
      <c r="M10" s="414"/>
      <c r="N10" s="415"/>
    </row>
    <row r="11" spans="1:14" ht="10.5" customHeight="1" thickBot="1" x14ac:dyDescent="0.45">
      <c r="A11" s="4"/>
      <c r="B11" s="3"/>
      <c r="C11" s="3"/>
      <c r="D11" s="3"/>
      <c r="E11" s="29"/>
      <c r="F11" s="95"/>
      <c r="G11" s="3"/>
      <c r="H11" s="27"/>
      <c r="I11" s="27"/>
      <c r="J11" s="27"/>
      <c r="K11" s="8"/>
      <c r="L11" s="8"/>
      <c r="M11" s="8"/>
      <c r="N11" s="8"/>
    </row>
    <row r="12" spans="1:14" ht="21.6" thickBot="1" x14ac:dyDescent="0.45">
      <c r="A12" s="3"/>
      <c r="B12" s="128" t="s">
        <v>182</v>
      </c>
      <c r="C12" s="255" t="s">
        <v>121</v>
      </c>
      <c r="D12" s="127"/>
      <c r="E12" s="126"/>
      <c r="F12" s="95"/>
      <c r="G12" s="67" t="s">
        <v>52</v>
      </c>
      <c r="H12" s="68"/>
      <c r="I12" s="68"/>
      <c r="J12" s="68"/>
      <c r="K12" s="68"/>
      <c r="L12" s="68"/>
      <c r="M12" s="68"/>
      <c r="N12" s="68"/>
    </row>
    <row r="13" spans="1:14" x14ac:dyDescent="0.3">
      <c r="A13" s="416" t="s">
        <v>0</v>
      </c>
      <c r="B13" s="417"/>
      <c r="C13" s="417"/>
      <c r="D13" s="347" t="s">
        <v>24</v>
      </c>
      <c r="E13" s="348"/>
      <c r="F13" s="90"/>
      <c r="G13" s="418" t="s">
        <v>226</v>
      </c>
      <c r="H13" s="419"/>
      <c r="I13" s="419"/>
      <c r="J13" s="419"/>
      <c r="K13" s="419"/>
      <c r="L13" s="419"/>
      <c r="M13" s="419"/>
      <c r="N13" s="420"/>
    </row>
    <row r="14" spans="1:14" x14ac:dyDescent="0.3">
      <c r="A14" s="111"/>
      <c r="B14" s="12" t="s">
        <v>46</v>
      </c>
      <c r="C14" s="427"/>
      <c r="D14" s="428"/>
      <c r="E14" s="429"/>
      <c r="F14" s="90"/>
      <c r="G14" s="421"/>
      <c r="H14" s="422"/>
      <c r="I14" s="422"/>
      <c r="J14" s="422"/>
      <c r="K14" s="422"/>
      <c r="L14" s="422"/>
      <c r="M14" s="422"/>
      <c r="N14" s="423"/>
    </row>
    <row r="15" spans="1:14" x14ac:dyDescent="0.3">
      <c r="A15" s="111"/>
      <c r="B15" s="12" t="s">
        <v>56</v>
      </c>
      <c r="C15" s="232" t="s">
        <v>95</v>
      </c>
      <c r="D15" s="407" t="s">
        <v>55</v>
      </c>
      <c r="E15" s="408"/>
      <c r="F15" s="90"/>
      <c r="G15" s="421"/>
      <c r="H15" s="422"/>
      <c r="I15" s="422"/>
      <c r="J15" s="422"/>
      <c r="K15" s="422"/>
      <c r="L15" s="422"/>
      <c r="M15" s="422"/>
      <c r="N15" s="423"/>
    </row>
    <row r="16" spans="1:14" x14ac:dyDescent="0.3">
      <c r="A16" s="111"/>
      <c r="B16" s="12" t="s">
        <v>110</v>
      </c>
      <c r="C16" s="256"/>
      <c r="D16" s="407"/>
      <c r="E16" s="408"/>
      <c r="F16" s="90"/>
      <c r="G16" s="421"/>
      <c r="H16" s="422"/>
      <c r="I16" s="422"/>
      <c r="J16" s="422"/>
      <c r="K16" s="422"/>
      <c r="L16" s="422"/>
      <c r="M16" s="422"/>
      <c r="N16" s="423"/>
    </row>
    <row r="17" spans="1:25" x14ac:dyDescent="0.3">
      <c r="A17" s="111"/>
      <c r="B17" s="12" t="s">
        <v>47</v>
      </c>
      <c r="C17" s="428"/>
      <c r="D17" s="441"/>
      <c r="E17" s="442"/>
      <c r="F17" s="90"/>
      <c r="G17" s="421"/>
      <c r="H17" s="422"/>
      <c r="I17" s="422"/>
      <c r="J17" s="422"/>
      <c r="K17" s="422"/>
      <c r="L17" s="422"/>
      <c r="M17" s="422"/>
      <c r="N17" s="423"/>
      <c r="W17" s="187" t="s">
        <v>94</v>
      </c>
      <c r="X17" s="188" t="s">
        <v>95</v>
      </c>
      <c r="Y17" s="188" t="s">
        <v>100</v>
      </c>
    </row>
    <row r="18" spans="1:25" x14ac:dyDescent="0.3">
      <c r="A18" s="111"/>
      <c r="B18" s="12" t="s">
        <v>100</v>
      </c>
      <c r="C18" s="234"/>
      <c r="D18" s="407" t="s">
        <v>55</v>
      </c>
      <c r="E18" s="408"/>
      <c r="F18" s="90"/>
      <c r="G18" s="421"/>
      <c r="H18" s="422"/>
      <c r="I18" s="422"/>
      <c r="J18" s="422"/>
      <c r="K18" s="422"/>
      <c r="L18" s="422"/>
      <c r="M18" s="422"/>
      <c r="N18" s="423"/>
      <c r="W18" s="187">
        <v>2023</v>
      </c>
      <c r="X18" s="188" t="s">
        <v>101</v>
      </c>
      <c r="Y18" s="187" t="str">
        <f>IF($C$15="cogé",X18,W18)</f>
        <v>BGM6</v>
      </c>
    </row>
    <row r="19" spans="1:25" x14ac:dyDescent="0.3">
      <c r="A19" s="111"/>
      <c r="B19" s="12" t="s">
        <v>153</v>
      </c>
      <c r="C19" s="233"/>
      <c r="D19" s="407" t="s">
        <v>55</v>
      </c>
      <c r="E19" s="408"/>
      <c r="F19" s="90"/>
      <c r="G19" s="421"/>
      <c r="H19" s="422"/>
      <c r="I19" s="422"/>
      <c r="J19" s="422"/>
      <c r="K19" s="422"/>
      <c r="L19" s="422"/>
      <c r="M19" s="422"/>
      <c r="N19" s="423"/>
      <c r="W19" s="187">
        <v>2021</v>
      </c>
      <c r="X19" s="188" t="s">
        <v>102</v>
      </c>
      <c r="Y19" s="187" t="str">
        <f>IF($C$15="cogé",X19,W19)</f>
        <v>BG11</v>
      </c>
    </row>
    <row r="20" spans="1:25" x14ac:dyDescent="0.3">
      <c r="A20" s="111"/>
      <c r="B20" s="12" t="s">
        <v>154</v>
      </c>
      <c r="C20" s="234"/>
      <c r="D20" s="407" t="s">
        <v>55</v>
      </c>
      <c r="E20" s="408"/>
      <c r="F20" s="90"/>
      <c r="G20" s="421"/>
      <c r="H20" s="422"/>
      <c r="I20" s="422"/>
      <c r="J20" s="422"/>
      <c r="K20" s="422"/>
      <c r="L20" s="422"/>
      <c r="M20" s="422"/>
      <c r="N20" s="423"/>
      <c r="W20" s="187">
        <v>2011</v>
      </c>
      <c r="X20" s="188" t="s">
        <v>103</v>
      </c>
      <c r="Y20" s="187" t="str">
        <f>IF($C$15="cogé",X20,W20)</f>
        <v>BG16</v>
      </c>
    </row>
    <row r="21" spans="1:25" x14ac:dyDescent="0.3">
      <c r="A21" s="111"/>
      <c r="B21" s="12" t="s">
        <v>53</v>
      </c>
      <c r="C21" s="233"/>
      <c r="D21" s="407" t="s">
        <v>55</v>
      </c>
      <c r="E21" s="408"/>
      <c r="F21" s="90"/>
      <c r="G21" s="421"/>
      <c r="H21" s="422"/>
      <c r="I21" s="422"/>
      <c r="J21" s="422"/>
      <c r="K21" s="422"/>
      <c r="L21" s="422"/>
      <c r="M21" s="422"/>
      <c r="N21" s="423"/>
      <c r="W21" s="187"/>
      <c r="X21" s="188" t="s">
        <v>104</v>
      </c>
      <c r="Y21" s="187" t="str">
        <f>IF($C$15="cogé",X21,"")</f>
        <v>Appel d'offre</v>
      </c>
    </row>
    <row r="22" spans="1:25" x14ac:dyDescent="0.3">
      <c r="A22" s="111"/>
      <c r="B22" s="12" t="s">
        <v>183</v>
      </c>
      <c r="C22" s="235"/>
      <c r="D22" s="257" t="s">
        <v>81</v>
      </c>
      <c r="E22" s="103"/>
      <c r="F22" s="90"/>
      <c r="G22" s="421"/>
      <c r="H22" s="422"/>
      <c r="I22" s="422"/>
      <c r="J22" s="422"/>
      <c r="K22" s="422"/>
      <c r="L22" s="422"/>
      <c r="M22" s="422"/>
      <c r="N22" s="423"/>
      <c r="W22" s="187" t="s">
        <v>99</v>
      </c>
      <c r="X22" s="187" t="s">
        <v>99</v>
      </c>
      <c r="Y22" s="187" t="str">
        <f>IF($C$15="cogé",X22,W22)</f>
        <v>Obligatoire</v>
      </c>
    </row>
    <row r="23" spans="1:25" x14ac:dyDescent="0.3">
      <c r="A23" s="111"/>
      <c r="B23" s="59" t="str">
        <f>+IF($C$15="Cogé","P max cogé à la mise en service","Cmax à la mise en service")</f>
        <v>P max cogé à la mise en service</v>
      </c>
      <c r="C23" s="233"/>
      <c r="D23" s="383" t="str">
        <f>+IF($C$15="Cogé","kwé installé",IF($C$15="Injection","m3 CH4/he","Indiquer valo énergie"))</f>
        <v>kwé installé</v>
      </c>
      <c r="E23" s="384"/>
      <c r="F23" s="90"/>
      <c r="G23" s="421"/>
      <c r="H23" s="422"/>
      <c r="I23" s="422"/>
      <c r="J23" s="422"/>
      <c r="K23" s="422"/>
      <c r="L23" s="422"/>
      <c r="M23" s="422"/>
      <c r="N23" s="423"/>
      <c r="W23" s="187"/>
      <c r="X23" s="188"/>
      <c r="Y23" s="187"/>
    </row>
    <row r="24" spans="1:25" x14ac:dyDescent="0.3">
      <c r="A24" s="111"/>
      <c r="B24" s="59" t="str">
        <f>+IF($C$15="Cogé","P max cogé pour l'année enquêtée","Cmax  contrat pour l'année enquêtée")</f>
        <v>P max cogé pour l'année enquêtée</v>
      </c>
      <c r="C24" s="233"/>
      <c r="D24" s="102" t="str">
        <f>+IF($C$15="Cogé","kwé installé",IF(C15="Injection","m3 CH4/he","indiquer valo énergie"))</f>
        <v>kwé installé</v>
      </c>
      <c r="E24" s="103"/>
      <c r="F24" s="90"/>
      <c r="G24" s="421"/>
      <c r="H24" s="422"/>
      <c r="I24" s="422"/>
      <c r="J24" s="422"/>
      <c r="K24" s="422"/>
      <c r="L24" s="422"/>
      <c r="M24" s="422"/>
      <c r="N24" s="423"/>
      <c r="W24" s="187"/>
      <c r="X24" s="187"/>
      <c r="Y24" s="187"/>
    </row>
    <row r="25" spans="1:25" x14ac:dyDescent="0.3">
      <c r="A25" s="111"/>
      <c r="B25" s="12" t="s">
        <v>98</v>
      </c>
      <c r="C25" s="236"/>
      <c r="D25" s="102" t="s">
        <v>97</v>
      </c>
      <c r="E25" s="103"/>
      <c r="F25" s="91"/>
      <c r="G25" s="421"/>
      <c r="H25" s="422"/>
      <c r="I25" s="422"/>
      <c r="J25" s="422"/>
      <c r="K25" s="422"/>
      <c r="L25" s="422"/>
      <c r="M25" s="422"/>
      <c r="N25" s="423"/>
    </row>
    <row r="26" spans="1:25" x14ac:dyDescent="0.3">
      <c r="A26" s="111"/>
      <c r="B26" s="1" t="s">
        <v>114</v>
      </c>
      <c r="C26" s="235"/>
      <c r="D26" s="102" t="s">
        <v>140</v>
      </c>
      <c r="E26" s="103"/>
      <c r="F26" s="91"/>
      <c r="G26" s="421"/>
      <c r="H26" s="422"/>
      <c r="I26" s="422"/>
      <c r="J26" s="422"/>
      <c r="K26" s="422"/>
      <c r="L26" s="422"/>
      <c r="M26" s="422"/>
      <c r="N26" s="423"/>
    </row>
    <row r="27" spans="1:25" x14ac:dyDescent="0.3">
      <c r="A27" s="111"/>
      <c r="B27" s="12" t="s">
        <v>184</v>
      </c>
      <c r="C27" s="237"/>
      <c r="D27" s="102" t="s">
        <v>9</v>
      </c>
      <c r="E27" s="103"/>
      <c r="F27" s="91"/>
      <c r="G27" s="421"/>
      <c r="H27" s="422"/>
      <c r="I27" s="422"/>
      <c r="J27" s="422"/>
      <c r="K27" s="422"/>
      <c r="L27" s="422"/>
      <c r="M27" s="422"/>
      <c r="N27" s="423"/>
    </row>
    <row r="28" spans="1:25" x14ac:dyDescent="0.3">
      <c r="A28" s="111"/>
      <c r="B28" s="12" t="s">
        <v>10</v>
      </c>
      <c r="C28" s="237"/>
      <c r="D28" s="102" t="s">
        <v>83</v>
      </c>
      <c r="E28" s="103"/>
      <c r="F28" s="91"/>
      <c r="G28" s="421"/>
      <c r="H28" s="422"/>
      <c r="I28" s="422"/>
      <c r="J28" s="422"/>
      <c r="K28" s="422"/>
      <c r="L28" s="422"/>
      <c r="M28" s="422"/>
      <c r="N28" s="423"/>
    </row>
    <row r="29" spans="1:25" x14ac:dyDescent="0.3">
      <c r="A29" s="111"/>
      <c r="B29" s="12" t="s">
        <v>185</v>
      </c>
      <c r="C29" s="237"/>
      <c r="D29" s="102" t="s">
        <v>9</v>
      </c>
      <c r="E29" s="103"/>
      <c r="F29" s="91"/>
      <c r="G29" s="421"/>
      <c r="H29" s="422"/>
      <c r="I29" s="422"/>
      <c r="J29" s="422"/>
      <c r="K29" s="422"/>
      <c r="L29" s="422"/>
      <c r="M29" s="422"/>
      <c r="N29" s="423"/>
    </row>
    <row r="30" spans="1:25" ht="16.2" thickBot="1" x14ac:dyDescent="0.35">
      <c r="A30" s="189"/>
      <c r="B30" s="74" t="s">
        <v>196</v>
      </c>
      <c r="C30" s="238"/>
      <c r="D30" s="430" t="s">
        <v>9</v>
      </c>
      <c r="E30" s="431"/>
      <c r="F30" s="91"/>
      <c r="G30" s="424"/>
      <c r="H30" s="425"/>
      <c r="I30" s="425"/>
      <c r="J30" s="425"/>
      <c r="K30" s="425"/>
      <c r="L30" s="425"/>
      <c r="M30" s="425"/>
      <c r="N30" s="426"/>
    </row>
    <row r="31" spans="1:25" ht="5.25" customHeight="1" thickBot="1" x14ac:dyDescent="0.35">
      <c r="F31" s="90"/>
      <c r="G31" s="285" t="s">
        <v>225</v>
      </c>
      <c r="H31" s="75"/>
      <c r="I31" s="75"/>
      <c r="J31" s="75"/>
      <c r="K31" s="75"/>
      <c r="L31" s="75"/>
      <c r="M31" s="75"/>
      <c r="N31" s="75"/>
    </row>
    <row r="32" spans="1:25" x14ac:dyDescent="0.3">
      <c r="A32" s="416" t="s">
        <v>178</v>
      </c>
      <c r="B32" s="417"/>
      <c r="C32" s="46"/>
      <c r="D32" s="347" t="s">
        <v>24</v>
      </c>
      <c r="E32" s="348"/>
      <c r="F32" s="443"/>
      <c r="G32" s="40" t="s">
        <v>58</v>
      </c>
      <c r="H32" s="41"/>
      <c r="I32" s="41"/>
      <c r="J32" s="41"/>
      <c r="K32" s="42"/>
      <c r="L32" s="42"/>
      <c r="M32" s="42"/>
      <c r="N32" s="42"/>
    </row>
    <row r="33" spans="1:31" ht="16.2" thickBot="1" x14ac:dyDescent="0.35">
      <c r="A33" s="47"/>
      <c r="B33" s="76" t="s">
        <v>54</v>
      </c>
      <c r="C33" s="239" t="s">
        <v>229</v>
      </c>
      <c r="D33" s="407" t="s">
        <v>55</v>
      </c>
      <c r="E33" s="408"/>
      <c r="F33" s="443"/>
      <c r="G33" s="6"/>
      <c r="H33" s="6"/>
      <c r="I33" s="6"/>
      <c r="J33" s="6"/>
      <c r="K33" s="6"/>
      <c r="L33" s="6"/>
      <c r="M33" s="6"/>
      <c r="N33" s="6"/>
    </row>
    <row r="34" spans="1:31" x14ac:dyDescent="0.3">
      <c r="A34" s="47"/>
      <c r="B34" s="37" t="s">
        <v>113</v>
      </c>
      <c r="C34" s="240"/>
      <c r="D34" s="366" t="s">
        <v>25</v>
      </c>
      <c r="E34" s="367"/>
      <c r="F34" s="443"/>
      <c r="G34" s="396"/>
      <c r="H34" s="397"/>
      <c r="I34" s="398"/>
      <c r="J34" s="7"/>
    </row>
    <row r="35" spans="1:31" x14ac:dyDescent="0.3">
      <c r="A35" s="48"/>
      <c r="B35" s="13" t="s">
        <v>143</v>
      </c>
      <c r="C35" s="240"/>
      <c r="D35" s="366" t="s">
        <v>25</v>
      </c>
      <c r="E35" s="367"/>
      <c r="F35" s="443"/>
      <c r="G35" s="84" t="str">
        <f t="shared" ref="G35:G42" si="0">B35</f>
        <v>Ingénierie/étude</v>
      </c>
      <c r="H35" s="77"/>
      <c r="I35" s="88" t="e">
        <f t="shared" ref="I35:I44" si="1">C35/$C$45</f>
        <v>#DIV/0!</v>
      </c>
      <c r="J35" s="7"/>
    </row>
    <row r="36" spans="1:31" x14ac:dyDescent="0.3">
      <c r="A36" s="48"/>
      <c r="B36" s="13" t="s">
        <v>173</v>
      </c>
      <c r="C36" s="240"/>
      <c r="D36" s="366" t="s">
        <v>25</v>
      </c>
      <c r="E36" s="367"/>
      <c r="F36" s="443"/>
      <c r="G36" s="86" t="str">
        <f t="shared" si="0"/>
        <v>Raccordement aux différents réseaux</v>
      </c>
      <c r="H36" s="87"/>
      <c r="I36" s="88" t="e">
        <f t="shared" si="1"/>
        <v>#DIV/0!</v>
      </c>
      <c r="J36" s="7"/>
    </row>
    <row r="37" spans="1:31" x14ac:dyDescent="0.3">
      <c r="A37" s="48"/>
      <c r="B37" s="13" t="s">
        <v>1</v>
      </c>
      <c r="C37" s="240"/>
      <c r="D37" s="366" t="s">
        <v>25</v>
      </c>
      <c r="E37" s="367"/>
      <c r="F37" s="443"/>
      <c r="G37" s="86" t="str">
        <f t="shared" si="0"/>
        <v>Aménagement du site</v>
      </c>
      <c r="H37" s="87"/>
      <c r="I37" s="88" t="e">
        <f t="shared" si="1"/>
        <v>#DIV/0!</v>
      </c>
      <c r="J37" s="7"/>
    </row>
    <row r="38" spans="1:31" x14ac:dyDescent="0.3">
      <c r="A38" s="48"/>
      <c r="B38" s="13" t="s">
        <v>111</v>
      </c>
      <c r="C38" s="240"/>
      <c r="D38" s="366" t="s">
        <v>25</v>
      </c>
      <c r="E38" s="367"/>
      <c r="F38" s="443"/>
      <c r="G38" s="86" t="str">
        <f t="shared" si="0"/>
        <v>Stockage, réception et incorpo des entrants</v>
      </c>
      <c r="H38" s="87"/>
      <c r="I38" s="88" t="e">
        <f t="shared" si="1"/>
        <v>#DIV/0!</v>
      </c>
      <c r="J38" s="7"/>
    </row>
    <row r="39" spans="1:31" x14ac:dyDescent="0.3">
      <c r="A39" s="48"/>
      <c r="B39" s="13" t="s">
        <v>15</v>
      </c>
      <c r="C39" s="240"/>
      <c r="D39" s="366" t="s">
        <v>25</v>
      </c>
      <c r="E39" s="367"/>
      <c r="F39" s="443"/>
      <c r="G39" s="86" t="str">
        <f t="shared" si="0"/>
        <v>Ouvrages de digestion</v>
      </c>
      <c r="H39" s="87"/>
      <c r="I39" s="88" t="e">
        <f t="shared" si="1"/>
        <v>#DIV/0!</v>
      </c>
      <c r="J39" s="7"/>
    </row>
    <row r="40" spans="1:31" x14ac:dyDescent="0.3">
      <c r="A40" s="48"/>
      <c r="B40" s="13" t="str">
        <f>IF($C$15="cogé","Cogénérateur et équipements annexes","Epuration et équipements annexes")</f>
        <v>Cogénérateur et équipements annexes</v>
      </c>
      <c r="C40" s="240"/>
      <c r="D40" s="366" t="s">
        <v>25</v>
      </c>
      <c r="E40" s="367"/>
      <c r="F40" s="443"/>
      <c r="G40" s="86" t="str">
        <f t="shared" si="0"/>
        <v>Cogénérateur et équipements annexes</v>
      </c>
      <c r="H40" s="87"/>
      <c r="I40" s="88" t="e">
        <f t="shared" si="1"/>
        <v>#DIV/0!</v>
      </c>
      <c r="J40" s="7"/>
    </row>
    <row r="41" spans="1:31" x14ac:dyDescent="0.3">
      <c r="A41" s="48"/>
      <c r="B41" s="268" t="str">
        <f>IF($C$15="cogé","Valo chaleur : réseau de chaleur, séchoir...","Station GNV, BioCO2")</f>
        <v>Valo chaleur : réseau de chaleur, séchoir...</v>
      </c>
      <c r="C41" s="240"/>
      <c r="D41" s="366" t="s">
        <v>25</v>
      </c>
      <c r="E41" s="367"/>
      <c r="F41" s="443"/>
      <c r="G41" s="86" t="str">
        <f t="shared" si="0"/>
        <v>Valo chaleur : réseau de chaleur, séchoir...</v>
      </c>
      <c r="H41" s="87"/>
      <c r="I41" s="88" t="e">
        <f t="shared" si="1"/>
        <v>#DIV/0!</v>
      </c>
      <c r="J41" s="7"/>
    </row>
    <row r="42" spans="1:31" x14ac:dyDescent="0.3">
      <c r="A42" s="48"/>
      <c r="B42" s="13" t="s">
        <v>112</v>
      </c>
      <c r="C42" s="240"/>
      <c r="D42" s="366" t="s">
        <v>25</v>
      </c>
      <c r="E42" s="367"/>
      <c r="F42" s="443"/>
      <c r="G42" s="86" t="str">
        <f t="shared" si="0"/>
        <v>Stockage digestat et séparation de phase</v>
      </c>
      <c r="H42" s="87"/>
      <c r="I42" s="88" t="e">
        <f t="shared" si="1"/>
        <v>#DIV/0!</v>
      </c>
      <c r="J42" s="7"/>
    </row>
    <row r="43" spans="1:31" ht="31.2" x14ac:dyDescent="0.3">
      <c r="A43" s="48"/>
      <c r="B43" s="270" t="str">
        <f>IF($C$15="cogé","Activité annexe (déconditionnement, station GNV si même société que métha...)","Activité annexe (déconditionnement...)")</f>
        <v>Activité annexe (déconditionnement, station GNV si même société que métha...)</v>
      </c>
      <c r="C43" s="267"/>
      <c r="D43" s="366" t="s">
        <v>25</v>
      </c>
      <c r="E43" s="367"/>
      <c r="F43" s="443"/>
      <c r="G43" s="86" t="str">
        <f>+B43</f>
        <v>Activité annexe (déconditionnement, station GNV si même société que métha...)</v>
      </c>
      <c r="H43" s="87"/>
      <c r="I43" s="88" t="e">
        <f t="shared" si="1"/>
        <v>#DIV/0!</v>
      </c>
      <c r="J43" s="7"/>
    </row>
    <row r="44" spans="1:31" ht="16.2" thickBot="1" x14ac:dyDescent="0.35">
      <c r="A44" s="108"/>
      <c r="B44" s="241" t="s">
        <v>179</v>
      </c>
      <c r="C44" s="240"/>
      <c r="D44" s="366" t="s">
        <v>25</v>
      </c>
      <c r="E44" s="367"/>
      <c r="F44" s="443"/>
      <c r="G44" s="399" t="str">
        <f>+B44</f>
        <v xml:space="preserve">Autre, Préciser : </v>
      </c>
      <c r="H44" s="400"/>
      <c r="I44" s="89" t="e">
        <f t="shared" si="1"/>
        <v>#DIV/0!</v>
      </c>
      <c r="J44" s="7"/>
    </row>
    <row r="45" spans="1:31" s="5" customFormat="1" ht="16.2" thickBot="1" x14ac:dyDescent="0.35">
      <c r="A45" s="49"/>
      <c r="B45" s="14" t="s">
        <v>26</v>
      </c>
      <c r="C45" s="131">
        <f>IF(SUM(C35:C44)=0,C34,IF(SUM(C35:C44)=C34,C34,"répartion à revoir"))</f>
        <v>0</v>
      </c>
      <c r="D45" s="100"/>
      <c r="E45" s="101"/>
      <c r="F45" s="443"/>
      <c r="J45" s="7"/>
      <c r="K45" s="7"/>
      <c r="L45" s="7"/>
      <c r="M45" s="7"/>
      <c r="N45" s="7"/>
      <c r="O45"/>
      <c r="P45"/>
      <c r="Q45"/>
      <c r="R45"/>
      <c r="S45"/>
      <c r="T45"/>
      <c r="U45"/>
      <c r="Z45"/>
      <c r="AA45"/>
      <c r="AB45"/>
      <c r="AC45"/>
      <c r="AD45"/>
      <c r="AE45"/>
    </row>
    <row r="46" spans="1:31" s="5" customFormat="1" ht="4.95" customHeight="1" thickBot="1" x14ac:dyDescent="0.35">
      <c r="F46" s="105"/>
      <c r="G46" s="129"/>
      <c r="H46" s="69" t="s">
        <v>118</v>
      </c>
      <c r="I46" s="129" t="str">
        <f>IF(C15="Cogé","Réinvest moteur","Augmentation Cmax")</f>
        <v>Réinvest moteur</v>
      </c>
      <c r="J46" s="129" t="s">
        <v>116</v>
      </c>
      <c r="K46" s="129" t="s">
        <v>209</v>
      </c>
      <c r="L46" s="7"/>
      <c r="M46" s="7"/>
      <c r="N46" s="7"/>
      <c r="O46"/>
      <c r="P46"/>
      <c r="Q46"/>
      <c r="R46"/>
      <c r="S46"/>
      <c r="T46"/>
      <c r="U46"/>
      <c r="Z46"/>
      <c r="AA46"/>
      <c r="AB46"/>
      <c r="AC46"/>
      <c r="AD46"/>
      <c r="AE46"/>
    </row>
    <row r="47" spans="1:31" s="5" customFormat="1" x14ac:dyDescent="0.3">
      <c r="A47" s="109" t="s">
        <v>109</v>
      </c>
      <c r="B47" s="110"/>
      <c r="C47" s="123"/>
      <c r="D47" s="347" t="s">
        <v>24</v>
      </c>
      <c r="E47" s="348"/>
      <c r="F47" s="105"/>
      <c r="G47" s="69" t="s">
        <v>117</v>
      </c>
      <c r="H47" s="130">
        <f>+C45</f>
        <v>0</v>
      </c>
      <c r="I47" s="124"/>
      <c r="J47" s="124"/>
      <c r="K47" s="271"/>
      <c r="L47" s="7"/>
      <c r="M47" s="7"/>
      <c r="N47" s="7"/>
      <c r="O47"/>
      <c r="P47"/>
      <c r="Q47"/>
      <c r="R47"/>
      <c r="S47"/>
      <c r="T47"/>
      <c r="U47"/>
      <c r="Z47"/>
      <c r="AA47"/>
      <c r="AB47"/>
      <c r="AC47"/>
      <c r="AD47"/>
      <c r="AE47"/>
    </row>
    <row r="48" spans="1:31" s="5" customFormat="1" x14ac:dyDescent="0.3">
      <c r="A48" s="111"/>
      <c r="B48" s="13" t="str">
        <f>+IF($C$15="cogé","Réinvestissement / renouvellement moteur","Réinvest augmentation Cmax")</f>
        <v>Réinvestissement / renouvellement moteur</v>
      </c>
      <c r="C48" s="242"/>
      <c r="D48" s="366" t="s">
        <v>25</v>
      </c>
      <c r="E48" s="367"/>
      <c r="F48" s="105"/>
      <c r="G48" s="12" t="s">
        <v>119</v>
      </c>
      <c r="H48" s="124"/>
      <c r="I48" s="130">
        <f>+C48</f>
        <v>0</v>
      </c>
      <c r="J48" s="130">
        <f>+C49</f>
        <v>0</v>
      </c>
      <c r="K48" s="130">
        <f>C50+C51</f>
        <v>0</v>
      </c>
      <c r="L48" s="7"/>
      <c r="M48" s="7"/>
      <c r="N48" s="7"/>
      <c r="O48"/>
      <c r="P48"/>
      <c r="Q48"/>
      <c r="R48"/>
      <c r="S48"/>
      <c r="T48"/>
      <c r="U48"/>
      <c r="Z48"/>
      <c r="AA48"/>
      <c r="AB48"/>
      <c r="AC48"/>
      <c r="AD48"/>
      <c r="AE48"/>
    </row>
    <row r="49" spans="1:31" s="5" customFormat="1" x14ac:dyDescent="0.3">
      <c r="A49" s="111"/>
      <c r="B49" s="13" t="s">
        <v>108</v>
      </c>
      <c r="C49" s="242"/>
      <c r="D49" s="366" t="s">
        <v>25</v>
      </c>
      <c r="E49" s="367"/>
      <c r="F49" s="105"/>
      <c r="J49" s="7"/>
      <c r="K49" s="7"/>
      <c r="L49" s="7"/>
      <c r="M49" s="7"/>
      <c r="N49" s="7"/>
      <c r="O49"/>
      <c r="P49"/>
      <c r="Q49"/>
      <c r="R49"/>
      <c r="S49"/>
      <c r="T49"/>
      <c r="U49"/>
      <c r="Z49"/>
      <c r="AA49"/>
      <c r="AB49"/>
      <c r="AC49"/>
      <c r="AD49"/>
      <c r="AE49"/>
    </row>
    <row r="50" spans="1:31" s="5" customFormat="1" x14ac:dyDescent="0.3">
      <c r="A50" s="111"/>
      <c r="B50" s="13" t="s">
        <v>210</v>
      </c>
      <c r="C50" s="242"/>
      <c r="D50" s="366" t="s">
        <v>25</v>
      </c>
      <c r="E50" s="367"/>
      <c r="F50" s="105"/>
      <c r="J50" s="7"/>
      <c r="K50" s="7"/>
      <c r="L50" s="7"/>
      <c r="M50" s="7"/>
      <c r="N50" s="7"/>
      <c r="O50"/>
      <c r="P50"/>
      <c r="Q50"/>
      <c r="R50"/>
      <c r="S50"/>
      <c r="T50"/>
      <c r="U50"/>
      <c r="Z50"/>
      <c r="AA50"/>
      <c r="AB50"/>
      <c r="AC50"/>
      <c r="AD50"/>
      <c r="AE50"/>
    </row>
    <row r="51" spans="1:31" s="5" customFormat="1" x14ac:dyDescent="0.3">
      <c r="A51" s="48"/>
      <c r="B51" s="12" t="s">
        <v>211</v>
      </c>
      <c r="C51" s="242"/>
      <c r="D51" s="392" t="s">
        <v>25</v>
      </c>
      <c r="E51" s="393"/>
      <c r="F51" s="105"/>
      <c r="J51" s="7"/>
      <c r="K51" s="7"/>
      <c r="L51" s="7"/>
      <c r="M51" s="7"/>
      <c r="N51" s="7"/>
      <c r="Z51"/>
      <c r="AA51"/>
      <c r="AB51"/>
      <c r="AC51"/>
      <c r="AD51"/>
      <c r="AE51"/>
    </row>
    <row r="52" spans="1:31" s="5" customFormat="1" ht="16.2" thickBot="1" x14ac:dyDescent="0.35">
      <c r="A52" s="65"/>
      <c r="B52" s="112" t="s">
        <v>120</v>
      </c>
      <c r="C52" s="136">
        <f>SUM(C48:C51)</f>
        <v>0</v>
      </c>
      <c r="D52" s="394" t="s">
        <v>25</v>
      </c>
      <c r="E52" s="395"/>
      <c r="F52" s="105"/>
      <c r="G52" s="106"/>
      <c r="I52" s="107"/>
      <c r="J52" s="7"/>
      <c r="K52" s="7"/>
      <c r="L52" s="7"/>
      <c r="M52" s="7"/>
      <c r="N52" s="7"/>
      <c r="Z52"/>
      <c r="AA52"/>
      <c r="AB52"/>
      <c r="AC52"/>
      <c r="AD52"/>
      <c r="AE52"/>
    </row>
    <row r="53" spans="1:31" ht="12.75" customHeight="1" thickBot="1" x14ac:dyDescent="0.35">
      <c r="C53" s="2"/>
      <c r="D53" s="2"/>
      <c r="E53" s="31"/>
      <c r="F53" s="92"/>
      <c r="Z53" s="5"/>
      <c r="AA53" s="5"/>
      <c r="AB53" s="5"/>
      <c r="AC53" s="5"/>
      <c r="AD53" s="5"/>
      <c r="AE53" s="5"/>
    </row>
    <row r="54" spans="1:31" x14ac:dyDescent="0.3">
      <c r="A54" s="70" t="s">
        <v>2</v>
      </c>
      <c r="B54" s="71"/>
      <c r="C54" s="50"/>
      <c r="D54" s="347" t="s">
        <v>24</v>
      </c>
      <c r="E54" s="348"/>
      <c r="F54" s="92"/>
      <c r="G54" s="45" t="s">
        <v>45</v>
      </c>
      <c r="H54" s="43"/>
      <c r="I54" s="43"/>
      <c r="J54" s="43"/>
      <c r="K54" s="44"/>
      <c r="L54" s="44"/>
      <c r="M54" s="44"/>
      <c r="N54" s="42"/>
    </row>
    <row r="55" spans="1:31" x14ac:dyDescent="0.3">
      <c r="A55" s="48"/>
      <c r="B55" s="13" t="s">
        <v>11</v>
      </c>
      <c r="C55" s="258"/>
      <c r="D55" s="366" t="s">
        <v>25</v>
      </c>
      <c r="E55" s="367"/>
      <c r="F55" s="92"/>
      <c r="G55" s="132"/>
      <c r="H55" s="389" t="s">
        <v>118</v>
      </c>
      <c r="I55" s="389"/>
      <c r="J55" s="389" t="s">
        <v>122</v>
      </c>
      <c r="K55" s="389"/>
      <c r="L55" s="390" t="s">
        <v>24</v>
      </c>
      <c r="M55" s="390"/>
      <c r="N55" s="390"/>
    </row>
    <row r="56" spans="1:31" x14ac:dyDescent="0.3">
      <c r="A56" s="48"/>
      <c r="B56" s="13" t="s">
        <v>12</v>
      </c>
      <c r="C56" s="258"/>
      <c r="D56" s="366" t="s">
        <v>25</v>
      </c>
      <c r="E56" s="367"/>
      <c r="F56" s="92"/>
      <c r="G56" s="133" t="s">
        <v>29</v>
      </c>
      <c r="H56" s="391" t="e">
        <f>C58/C45</f>
        <v>#DIV/0!</v>
      </c>
      <c r="I56" s="391"/>
      <c r="J56" s="391" t="e">
        <f>C58/(C45+C52)</f>
        <v>#DIV/0!</v>
      </c>
      <c r="K56" s="391"/>
      <c r="L56" s="386" t="s">
        <v>57</v>
      </c>
      <c r="M56" s="386"/>
      <c r="N56" s="386"/>
    </row>
    <row r="57" spans="1:31" x14ac:dyDescent="0.3">
      <c r="A57" s="48"/>
      <c r="B57" s="241" t="s">
        <v>179</v>
      </c>
      <c r="C57" s="258"/>
      <c r="D57" s="366" t="s">
        <v>25</v>
      </c>
      <c r="E57" s="367"/>
      <c r="F57" s="92"/>
      <c r="G57" s="133" t="s">
        <v>27</v>
      </c>
      <c r="H57" s="385" t="e">
        <f>(C45)/C24</f>
        <v>#DIV/0!</v>
      </c>
      <c r="I57" s="385"/>
      <c r="J57" s="385" t="e">
        <f>(C45+C52)/C24</f>
        <v>#DIV/0!</v>
      </c>
      <c r="K57" s="385"/>
      <c r="L57" s="386" t="str">
        <f>+IF($C$15="Cogé","€/kwé installé",IF(C15="Injection","€/nm3 installé"))</f>
        <v>€/kwé installé</v>
      </c>
      <c r="M57" s="386"/>
      <c r="N57" s="386"/>
    </row>
    <row r="58" spans="1:31" s="5" customFormat="1" ht="16.2" thickBot="1" x14ac:dyDescent="0.35">
      <c r="A58" s="65"/>
      <c r="B58" s="14" t="s">
        <v>13</v>
      </c>
      <c r="C58" s="38">
        <f>SUM(C55:C57)</f>
        <v>0</v>
      </c>
      <c r="D58" s="387" t="s">
        <v>25</v>
      </c>
      <c r="E58" s="388"/>
      <c r="F58" s="92"/>
      <c r="G58" s="133" t="s">
        <v>28</v>
      </c>
      <c r="H58" s="385" t="e">
        <f>(C45-C58)/C24</f>
        <v>#DIV/0!</v>
      </c>
      <c r="I58" s="385"/>
      <c r="J58" s="385" t="e">
        <f>(C45+C52-C58)/C24</f>
        <v>#DIV/0!</v>
      </c>
      <c r="K58" s="385"/>
      <c r="L58" s="386" t="str">
        <f>+IF($C$15="Cogé","€/kwé installé",IF(C15="Injection","€/nm3 installé"))</f>
        <v>€/kwé installé</v>
      </c>
      <c r="M58" s="386"/>
      <c r="N58" s="386"/>
      <c r="Y58"/>
      <c r="Z58"/>
      <c r="AA58"/>
      <c r="AB58"/>
      <c r="AC58"/>
      <c r="AD58"/>
    </row>
    <row r="59" spans="1:31" ht="9" customHeight="1" thickBot="1" x14ac:dyDescent="0.35">
      <c r="C59" s="2"/>
      <c r="D59" s="2"/>
      <c r="F59" s="92"/>
      <c r="G59" s="5"/>
      <c r="H59" s="34"/>
      <c r="I59" s="5"/>
      <c r="J59" s="5"/>
      <c r="K59" s="5"/>
      <c r="N59" s="9"/>
      <c r="Z59" s="5"/>
      <c r="AA59" s="5"/>
      <c r="AB59" s="5"/>
      <c r="AC59" s="5"/>
      <c r="AD59" s="5"/>
      <c r="AE59" s="5"/>
    </row>
    <row r="60" spans="1:31" x14ac:dyDescent="0.3">
      <c r="A60" s="381" t="s">
        <v>3</v>
      </c>
      <c r="B60" s="382"/>
      <c r="C60" s="382"/>
      <c r="D60" s="347" t="s">
        <v>24</v>
      </c>
      <c r="E60" s="348"/>
      <c r="F60" s="92"/>
      <c r="G60" s="45" t="s">
        <v>220</v>
      </c>
      <c r="H60" s="43"/>
      <c r="I60" s="43"/>
      <c r="J60" s="43"/>
      <c r="K60" s="44"/>
      <c r="L60" s="44"/>
      <c r="M60" s="44"/>
      <c r="N60" s="42"/>
    </row>
    <row r="61" spans="1:31" x14ac:dyDescent="0.3">
      <c r="A61" s="111"/>
      <c r="B61" s="12" t="str">
        <f>+IF($C$15="Cogé","Nombre d'heures de fonctionnement sur l'année","Nombre d'heures fonctionnement poste inject")</f>
        <v>Nombre d'heures de fonctionnement sur l'année</v>
      </c>
      <c r="C61" s="233"/>
      <c r="D61" s="102" t="s">
        <v>140</v>
      </c>
      <c r="E61" s="103"/>
      <c r="F61" s="92"/>
      <c r="G61" s="194"/>
      <c r="H61" s="195"/>
      <c r="I61" s="195"/>
      <c r="J61" s="195"/>
      <c r="K61" s="196"/>
      <c r="L61" s="196"/>
      <c r="M61" s="196"/>
      <c r="N61" s="197"/>
    </row>
    <row r="62" spans="1:31" s="17" customFormat="1" x14ac:dyDescent="0.3">
      <c r="A62" s="190"/>
      <c r="B62" s="12" t="str">
        <f>IF(C15="cogé","MWH élec vendus/an (Voir 12 factures de vente)","MWH injec vendus/an (Voir 12 factures de vente)")</f>
        <v>MWH élec vendus/an (Voir 12 factures de vente)</v>
      </c>
      <c r="C62" s="243"/>
      <c r="D62" s="383" t="s">
        <v>48</v>
      </c>
      <c r="E62" s="384"/>
      <c r="F62" s="92"/>
      <c r="G62" s="39" t="s">
        <v>30</v>
      </c>
      <c r="H62" s="53"/>
      <c r="I62" s="51">
        <f>C61/(365*24)</f>
        <v>0</v>
      </c>
      <c r="J62" s="39" t="str">
        <f>+IF($C$15="Cogé","Heure de fonctionnement cogé /heure max de l'année",IF($C$15="Injection","Heure de fonctionnement épurateur/heure max de l'année"))</f>
        <v>Heure de fonctionnement cogé /heure max de l'année</v>
      </c>
      <c r="K62" s="54"/>
      <c r="L62" s="39"/>
      <c r="M62" s="39"/>
      <c r="N62" s="39"/>
      <c r="Z62"/>
      <c r="AA62"/>
      <c r="AB62"/>
      <c r="AC62"/>
      <c r="AD62"/>
      <c r="AE62"/>
    </row>
    <row r="63" spans="1:31" x14ac:dyDescent="0.3">
      <c r="A63" s="190"/>
      <c r="B63" s="52" t="str">
        <f>IF(C15="cogé","Tarif de rachat élect (Moy des 12 mois)","Tarif de rachat inject (Moy des 12 mois hors GO)")</f>
        <v>Tarif de rachat élect (Moy des 12 mois)</v>
      </c>
      <c r="C63" s="244"/>
      <c r="D63" s="383" t="s">
        <v>49</v>
      </c>
      <c r="E63" s="384"/>
      <c r="F63" s="92"/>
      <c r="G63" s="39" t="s">
        <v>31</v>
      </c>
      <c r="H63" s="55"/>
      <c r="I63" s="51" t="e">
        <f>IF(C15="cogé",C62/(C24*365*24/1000),C62/(C24*10.7*365*24/1000))</f>
        <v>#DIV/0!</v>
      </c>
      <c r="J63" s="39" t="s">
        <v>32</v>
      </c>
      <c r="K63" s="54"/>
      <c r="L63" s="39"/>
      <c r="M63" s="39"/>
      <c r="N63" s="39"/>
      <c r="Z63" s="17"/>
      <c r="AA63" s="17"/>
      <c r="AB63" s="17"/>
      <c r="AC63" s="17"/>
      <c r="AD63" s="17"/>
      <c r="AE63" s="17"/>
    </row>
    <row r="64" spans="1:31" x14ac:dyDescent="0.3">
      <c r="A64" s="190"/>
      <c r="B64" s="59" t="str">
        <f>IF(C15="cogé","MWH valorisée en chaleur hors chauffage ou hygié","MWH méthane valorisé hors inj et chaudière (GNV…)")</f>
        <v>MWH valorisée en chaleur hors chauffage ou hygié</v>
      </c>
      <c r="C64" s="242"/>
      <c r="D64" s="383" t="s">
        <v>48</v>
      </c>
      <c r="E64" s="384"/>
      <c r="F64" s="92"/>
    </row>
    <row r="65" spans="1:14" ht="16.2" thickBot="1" x14ac:dyDescent="0.35">
      <c r="A65" s="190"/>
      <c r="B65" s="269" t="str">
        <f>IF(C15="cogé","Tarif de vente (chaleur)","Tarif de vente (GNV ou autre valo hors injé)")</f>
        <v>Tarif de vente (chaleur)</v>
      </c>
      <c r="C65" s="242"/>
      <c r="D65" s="383" t="s">
        <v>49</v>
      </c>
      <c r="E65" s="384"/>
      <c r="F65" s="92"/>
      <c r="G65" s="45" t="s">
        <v>33</v>
      </c>
      <c r="H65" s="43"/>
      <c r="I65" s="42"/>
      <c r="J65" s="42"/>
      <c r="K65" s="42"/>
      <c r="L65" s="42"/>
      <c r="M65" s="42"/>
      <c r="N65" s="42"/>
    </row>
    <row r="66" spans="1:14" x14ac:dyDescent="0.3">
      <c r="A66" s="190"/>
      <c r="B66" s="59" t="s">
        <v>186</v>
      </c>
      <c r="C66" s="122">
        <f>C62*C63+C65*C64</f>
        <v>0</v>
      </c>
      <c r="D66" s="366" t="s">
        <v>25</v>
      </c>
      <c r="E66" s="367"/>
      <c r="F66" s="92"/>
      <c r="G66" s="377" t="str">
        <f>IF(C15="cogé","Electricité","Biométhane")</f>
        <v>Electricité</v>
      </c>
      <c r="H66" s="378"/>
      <c r="I66" s="378"/>
      <c r="J66" s="287" t="e">
        <f>C67/$C$75</f>
        <v>#DIV/0!</v>
      </c>
    </row>
    <row r="67" spans="1:14" ht="16.5" customHeight="1" x14ac:dyDescent="0.3">
      <c r="A67" s="190"/>
      <c r="B67" s="59" t="str">
        <f>IF(C15="cogé","Vente élect : sommes des 12 factures","Vente biométhane (somme 12 factures hors GO)")</f>
        <v>Vente élect : sommes des 12 factures</v>
      </c>
      <c r="C67" s="245"/>
      <c r="D67" s="366" t="s">
        <v>25</v>
      </c>
      <c r="E67" s="367"/>
      <c r="F67" s="92"/>
      <c r="G67" s="375" t="str">
        <f>IF(C15="cogé","Vente chaleur","Valo GNV ou  autre valo CH4")</f>
        <v>Vente chaleur</v>
      </c>
      <c r="H67" s="376"/>
      <c r="I67" s="376"/>
      <c r="J67" s="288" t="e">
        <f>C68/$C$75</f>
        <v>#DIV/0!</v>
      </c>
    </row>
    <row r="68" spans="1:14" x14ac:dyDescent="0.3">
      <c r="A68" s="190"/>
      <c r="B68" s="59" t="str">
        <f>IF(C15="cogé","Vente chaleur","Vente GNV ou autre valo biométhane")</f>
        <v>Vente chaleur</v>
      </c>
      <c r="C68" s="245"/>
      <c r="D68" s="366" t="s">
        <v>25</v>
      </c>
      <c r="E68" s="367"/>
      <c r="F68" s="92"/>
      <c r="G68" s="379" t="str">
        <f>IF($C$15="cogé","Valo bioGNV","Garantie origine")</f>
        <v>Valo bioGNV</v>
      </c>
      <c r="H68" s="380"/>
      <c r="I68" s="380"/>
      <c r="J68" s="288" t="e">
        <f>C69/$C$75</f>
        <v>#DIV/0!</v>
      </c>
    </row>
    <row r="69" spans="1:14" x14ac:dyDescent="0.3">
      <c r="A69" s="190"/>
      <c r="B69" s="59" t="str">
        <f>IF($C$15="cogé","Vente gaz pour valo bioGNV","Valeur GO")</f>
        <v>Vente gaz pour valo bioGNV</v>
      </c>
      <c r="C69" s="245"/>
      <c r="D69" s="366" t="s">
        <v>25</v>
      </c>
      <c r="E69" s="367"/>
      <c r="F69" s="92"/>
      <c r="G69" s="375" t="s">
        <v>65</v>
      </c>
      <c r="H69" s="376"/>
      <c r="I69" s="376"/>
      <c r="J69" s="288" t="e">
        <f>C71/$C$75</f>
        <v>#DIV/0!</v>
      </c>
    </row>
    <row r="70" spans="1:14" x14ac:dyDescent="0.3">
      <c r="A70" s="190"/>
      <c r="B70" s="138" t="s">
        <v>60</v>
      </c>
      <c r="C70" s="122">
        <f>SUM(C67:C69)</f>
        <v>0</v>
      </c>
      <c r="D70" s="366" t="s">
        <v>25</v>
      </c>
      <c r="E70" s="367"/>
      <c r="F70" s="92"/>
      <c r="G70" s="375" t="s">
        <v>59</v>
      </c>
      <c r="H70" s="376"/>
      <c r="I70" s="376"/>
      <c r="J70" s="288" t="e">
        <f>C72/$C$75</f>
        <v>#DIV/0!</v>
      </c>
    </row>
    <row r="71" spans="1:14" x14ac:dyDescent="0.3">
      <c r="A71" s="190"/>
      <c r="B71" s="59" t="s">
        <v>64</v>
      </c>
      <c r="C71" s="242"/>
      <c r="D71" s="366" t="s">
        <v>25</v>
      </c>
      <c r="E71" s="367"/>
      <c r="F71" s="92"/>
      <c r="G71" s="375" t="str">
        <f>'Comparaison interannuelle'!B40</f>
        <v>Autre, Préciser :</v>
      </c>
      <c r="H71" s="376"/>
      <c r="I71" s="376"/>
      <c r="J71" s="288" t="e">
        <f>C73/$C$75</f>
        <v>#DIV/0!</v>
      </c>
    </row>
    <row r="72" spans="1:14" ht="16.2" thickBot="1" x14ac:dyDescent="0.35">
      <c r="A72" s="190"/>
      <c r="B72" s="59" t="s">
        <v>59</v>
      </c>
      <c r="C72" s="242"/>
      <c r="D72" s="366" t="s">
        <v>25</v>
      </c>
      <c r="E72" s="367"/>
      <c r="F72" s="92"/>
      <c r="G72" s="368" t="s">
        <v>63</v>
      </c>
      <c r="H72" s="369"/>
      <c r="I72" s="369"/>
      <c r="J72" s="289" t="e">
        <f>SUM(J66:J71)</f>
        <v>#DIV/0!</v>
      </c>
    </row>
    <row r="73" spans="1:14" ht="15.75" customHeight="1" x14ac:dyDescent="0.3">
      <c r="A73" s="190"/>
      <c r="B73" s="241" t="s">
        <v>179</v>
      </c>
      <c r="C73" s="245"/>
      <c r="D73" s="366" t="s">
        <v>25</v>
      </c>
      <c r="E73" s="367"/>
      <c r="F73" s="92"/>
      <c r="G73" s="370"/>
      <c r="H73" s="371"/>
      <c r="I73" s="371"/>
      <c r="J73" s="372"/>
    </row>
    <row r="74" spans="1:14" ht="15.6" customHeight="1" x14ac:dyDescent="0.3">
      <c r="A74" s="190"/>
      <c r="B74" s="138" t="s">
        <v>61</v>
      </c>
      <c r="C74" s="72">
        <f>SUM(C71:C73)</f>
        <v>0</v>
      </c>
      <c r="D74" s="366" t="s">
        <v>25</v>
      </c>
      <c r="E74" s="367"/>
      <c r="F74" s="92"/>
      <c r="G74" s="373" t="str">
        <f>IF(C15="cogé","Prix vente élec recalculé (CA total/KWélec vendus)","Prix vente CH4 recalculé (CA total/KWCH4 vendus)")</f>
        <v>Prix vente élec recalculé (CA total/KWélec vendus)</v>
      </c>
      <c r="H74" s="374"/>
      <c r="I74" s="374"/>
      <c r="J74" s="140" t="e">
        <f>C75/C62</f>
        <v>#DIV/0!</v>
      </c>
    </row>
    <row r="75" spans="1:14" ht="18.75" customHeight="1" thickBot="1" x14ac:dyDescent="0.35">
      <c r="A75" s="191"/>
      <c r="B75" s="56" t="s">
        <v>16</v>
      </c>
      <c r="C75" s="38">
        <f>+C74+C70</f>
        <v>0</v>
      </c>
      <c r="D75" s="362"/>
      <c r="E75" s="363"/>
      <c r="F75" s="92"/>
      <c r="G75" s="364" t="str">
        <f>IF(C15="cogé","Prix vente du biogaz recalculé (CA total/Kwh PCS produits)","")</f>
        <v>Prix vente du biogaz recalculé (CA total/Kwh PCS produits)</v>
      </c>
      <c r="H75" s="365"/>
      <c r="I75" s="365"/>
      <c r="J75" s="141" t="e">
        <f>J74*C93</f>
        <v>#DIV/0!</v>
      </c>
      <c r="K75" s="15"/>
      <c r="L75"/>
      <c r="M75"/>
    </row>
    <row r="76" spans="1:14" ht="9.75" customHeight="1" thickBot="1" x14ac:dyDescent="0.35">
      <c r="A76" s="6"/>
      <c r="B76" s="21"/>
      <c r="C76" s="104"/>
      <c r="D76" s="104"/>
      <c r="E76" s="104"/>
      <c r="H76"/>
      <c r="I76"/>
      <c r="J76"/>
      <c r="K76"/>
      <c r="L76"/>
      <c r="M76"/>
      <c r="N76"/>
    </row>
    <row r="77" spans="1:14" x14ac:dyDescent="0.3">
      <c r="A77" s="345" t="s">
        <v>35</v>
      </c>
      <c r="B77" s="346"/>
      <c r="C77" s="346"/>
      <c r="D77" s="347" t="s">
        <v>24</v>
      </c>
      <c r="E77" s="348"/>
      <c r="F77" s="92"/>
      <c r="G77" s="45" t="s">
        <v>75</v>
      </c>
      <c r="H77" s="43"/>
      <c r="I77" s="42"/>
      <c r="J77" s="42"/>
      <c r="K77" s="42"/>
      <c r="L77" s="42"/>
      <c r="M77" s="42"/>
      <c r="N77" s="42"/>
    </row>
    <row r="78" spans="1:14" ht="16.2" thickBot="1" x14ac:dyDescent="0.35">
      <c r="A78" s="192"/>
      <c r="B78" s="57" t="s">
        <v>66</v>
      </c>
      <c r="C78" s="246"/>
      <c r="D78" s="354" t="s">
        <v>82</v>
      </c>
      <c r="E78" s="355"/>
      <c r="F78" s="92"/>
      <c r="J78" s="7"/>
    </row>
    <row r="79" spans="1:14" x14ac:dyDescent="0.3">
      <c r="A79" s="192"/>
      <c r="B79" s="57" t="s">
        <v>67</v>
      </c>
      <c r="C79" s="246"/>
      <c r="D79" s="354" t="s">
        <v>82</v>
      </c>
      <c r="E79" s="355"/>
      <c r="F79" s="92"/>
      <c r="G79" s="80" t="s">
        <v>69</v>
      </c>
      <c r="H79" s="81"/>
      <c r="I79" s="82" t="e">
        <f t="shared" ref="I79:I86" si="2">C78/$C$86</f>
        <v>#DIV/0!</v>
      </c>
      <c r="J79" s="7"/>
    </row>
    <row r="80" spans="1:14" x14ac:dyDescent="0.3">
      <c r="A80" s="192"/>
      <c r="B80" s="57" t="s">
        <v>193</v>
      </c>
      <c r="C80" s="246"/>
      <c r="D80" s="354" t="s">
        <v>82</v>
      </c>
      <c r="E80" s="355"/>
      <c r="F80" s="92"/>
      <c r="G80" s="84" t="s">
        <v>70</v>
      </c>
      <c r="H80" s="78"/>
      <c r="I80" s="83" t="e">
        <f t="shared" si="2"/>
        <v>#DIV/0!</v>
      </c>
      <c r="J80" s="7"/>
    </row>
    <row r="81" spans="1:15" x14ac:dyDescent="0.3">
      <c r="A81" s="192"/>
      <c r="B81" s="57" t="s">
        <v>194</v>
      </c>
      <c r="C81" s="246"/>
      <c r="D81" s="354" t="s">
        <v>82</v>
      </c>
      <c r="E81" s="355"/>
      <c r="F81" s="92"/>
      <c r="G81" s="84" t="s">
        <v>71</v>
      </c>
      <c r="H81" s="78"/>
      <c r="I81" s="83" t="e">
        <f t="shared" si="2"/>
        <v>#DIV/0!</v>
      </c>
      <c r="J81" s="7"/>
    </row>
    <row r="82" spans="1:15" x14ac:dyDescent="0.3">
      <c r="A82" s="192"/>
      <c r="B82" s="57" t="s">
        <v>22</v>
      </c>
      <c r="C82" s="246"/>
      <c r="D82" s="354" t="s">
        <v>82</v>
      </c>
      <c r="E82" s="355"/>
      <c r="F82" s="92"/>
      <c r="G82" s="84" t="s">
        <v>72</v>
      </c>
      <c r="H82" s="78"/>
      <c r="I82" s="83" t="e">
        <f t="shared" si="2"/>
        <v>#DIV/0!</v>
      </c>
      <c r="J82" s="7"/>
    </row>
    <row r="83" spans="1:15" x14ac:dyDescent="0.3">
      <c r="A83" s="192"/>
      <c r="B83" s="57" t="s">
        <v>195</v>
      </c>
      <c r="C83" s="246"/>
      <c r="D83" s="354" t="s">
        <v>82</v>
      </c>
      <c r="E83" s="355"/>
      <c r="F83" s="92"/>
      <c r="G83" s="84" t="s">
        <v>134</v>
      </c>
      <c r="H83" s="78"/>
      <c r="I83" s="83" t="e">
        <f t="shared" si="2"/>
        <v>#DIV/0!</v>
      </c>
      <c r="J83" s="7"/>
    </row>
    <row r="84" spans="1:15" x14ac:dyDescent="0.3">
      <c r="A84" s="192"/>
      <c r="B84" s="57" t="s">
        <v>123</v>
      </c>
      <c r="C84" s="246"/>
      <c r="D84" s="354" t="s">
        <v>82</v>
      </c>
      <c r="E84" s="355"/>
      <c r="F84" s="92"/>
      <c r="G84" s="84" t="s">
        <v>73</v>
      </c>
      <c r="H84" s="78"/>
      <c r="I84" s="83" t="e">
        <f t="shared" si="2"/>
        <v>#DIV/0!</v>
      </c>
      <c r="J84" s="7"/>
    </row>
    <row r="85" spans="1:15" x14ac:dyDescent="0.3">
      <c r="A85" s="192"/>
      <c r="B85" s="57" t="s">
        <v>89</v>
      </c>
      <c r="C85" s="246"/>
      <c r="D85" s="354" t="s">
        <v>82</v>
      </c>
      <c r="E85" s="355"/>
      <c r="F85" s="92"/>
      <c r="G85" s="84" t="s">
        <v>74</v>
      </c>
      <c r="H85" s="78"/>
      <c r="I85" s="83" t="e">
        <f t="shared" si="2"/>
        <v>#DIV/0!</v>
      </c>
      <c r="J85" s="7"/>
    </row>
    <row r="86" spans="1:15" x14ac:dyDescent="0.3">
      <c r="A86" s="192"/>
      <c r="B86" s="63" t="s">
        <v>219</v>
      </c>
      <c r="C86" s="60">
        <f>IF(SUM(C78:C85)&lt;=0,C28,SUM(C78:C85))</f>
        <v>0</v>
      </c>
      <c r="D86" s="354" t="s">
        <v>82</v>
      </c>
      <c r="E86" s="355"/>
      <c r="F86" s="92"/>
      <c r="G86" s="84" t="s">
        <v>68</v>
      </c>
      <c r="H86" s="78"/>
      <c r="I86" s="83" t="e">
        <f t="shared" si="2"/>
        <v>#DIV/0!</v>
      </c>
      <c r="J86" s="73"/>
    </row>
    <row r="87" spans="1:15" ht="16.2" thickBot="1" x14ac:dyDescent="0.35">
      <c r="A87" s="192"/>
      <c r="B87" s="57" t="s">
        <v>216</v>
      </c>
      <c r="C87" s="247"/>
      <c r="D87" s="354" t="s">
        <v>82</v>
      </c>
      <c r="E87" s="355"/>
      <c r="F87" s="92"/>
      <c r="G87" s="118" t="s">
        <v>63</v>
      </c>
      <c r="H87" s="119"/>
      <c r="I87" s="85" t="e">
        <f>SUM(I79:I86)</f>
        <v>#DIV/0!</v>
      </c>
      <c r="J87" s="35"/>
    </row>
    <row r="88" spans="1:15" x14ac:dyDescent="0.3">
      <c r="A88" s="192"/>
      <c r="B88" s="57" t="s">
        <v>217</v>
      </c>
      <c r="C88" s="247"/>
      <c r="D88" s="354" t="s">
        <v>82</v>
      </c>
      <c r="E88" s="355"/>
      <c r="F88" s="92"/>
    </row>
    <row r="89" spans="1:15" x14ac:dyDescent="0.3">
      <c r="A89" s="192"/>
      <c r="B89" s="57" t="s">
        <v>218</v>
      </c>
      <c r="C89" s="247"/>
      <c r="D89" s="354" t="s">
        <v>82</v>
      </c>
      <c r="E89" s="355"/>
      <c r="F89" s="92"/>
      <c r="G89" s="12" t="s">
        <v>76</v>
      </c>
      <c r="H89" s="79" t="e">
        <f>I83</f>
        <v>#DIV/0!</v>
      </c>
      <c r="I89" s="361" t="s">
        <v>77</v>
      </c>
      <c r="J89" s="361"/>
      <c r="K89" s="361"/>
    </row>
    <row r="90" spans="1:15" ht="16.2" thickBot="1" x14ac:dyDescent="0.35">
      <c r="A90" s="193"/>
      <c r="B90" s="62" t="s">
        <v>155</v>
      </c>
      <c r="C90" s="61">
        <f>+SUM(C87:C89)</f>
        <v>0</v>
      </c>
      <c r="D90" s="356" t="s">
        <v>82</v>
      </c>
      <c r="E90" s="357"/>
      <c r="F90" s="92"/>
      <c r="G90" s="12" t="s">
        <v>78</v>
      </c>
      <c r="H90" s="79" t="e">
        <f>I80+I79</f>
        <v>#DIV/0!</v>
      </c>
      <c r="I90" s="361" t="s">
        <v>79</v>
      </c>
      <c r="J90" s="361"/>
      <c r="K90" s="361"/>
    </row>
    <row r="91" spans="1:15" ht="9.75" customHeight="1" thickBot="1" x14ac:dyDescent="0.35">
      <c r="B91"/>
      <c r="E91"/>
      <c r="F91" s="92"/>
    </row>
    <row r="92" spans="1:15" x14ac:dyDescent="0.3">
      <c r="A92" s="358" t="s">
        <v>34</v>
      </c>
      <c r="B92" s="359"/>
      <c r="C92" s="360"/>
      <c r="D92" s="347" t="s">
        <v>24</v>
      </c>
      <c r="E92" s="348"/>
      <c r="F92" s="92"/>
      <c r="G92" s="45" t="s">
        <v>139</v>
      </c>
      <c r="H92" s="43"/>
      <c r="I92" s="43"/>
      <c r="J92" s="43"/>
      <c r="K92" s="44"/>
      <c r="L92" s="44"/>
      <c r="M92" s="44"/>
      <c r="N92" s="42"/>
    </row>
    <row r="93" spans="1:15" x14ac:dyDescent="0.3">
      <c r="A93" s="58"/>
      <c r="B93" s="12" t="str">
        <f>+IF($C$15="Cogé","Rendement moteur","Rendement épuratoire")</f>
        <v>Rendement moteur</v>
      </c>
      <c r="C93" s="248"/>
      <c r="D93" s="102" t="s">
        <v>36</v>
      </c>
      <c r="E93" s="259"/>
      <c r="F93" s="92"/>
      <c r="G93" s="17"/>
      <c r="H93" s="36"/>
      <c r="I93" s="36" t="s">
        <v>136</v>
      </c>
      <c r="J93" s="36" t="s">
        <v>135</v>
      </c>
      <c r="K93" s="143" t="s">
        <v>137</v>
      </c>
      <c r="L93" s="16"/>
      <c r="M93" s="16"/>
      <c r="N93" s="16"/>
    </row>
    <row r="94" spans="1:15" x14ac:dyDescent="0.3">
      <c r="A94" s="120"/>
      <c r="B94" s="52" t="str">
        <f>IF(C15="cogé","MWh bruts sortie génératrice (cogé)","")</f>
        <v>MWh bruts sortie génératrice (cogé)</v>
      </c>
      <c r="C94" s="249"/>
      <c r="D94" s="354" t="s">
        <v>23</v>
      </c>
      <c r="E94" s="355"/>
      <c r="F94" s="92"/>
      <c r="G94" s="39" t="str">
        <f>IF(C15="cogé","% conso auxiliaire/vente réseau","% Conso biométhane sur chaudière")</f>
        <v>% conso auxiliaire/vente réseau</v>
      </c>
      <c r="H94" s="55"/>
      <c r="I94" s="96">
        <v>0.02</v>
      </c>
      <c r="J94" s="96" t="e">
        <f>C100/C62</f>
        <v>#DIV/0!</v>
      </c>
      <c r="K94" s="96">
        <v>0.06</v>
      </c>
      <c r="L94" s="171" t="s">
        <v>93</v>
      </c>
      <c r="M94" s="144"/>
      <c r="N94" s="144"/>
      <c r="O94" s="145"/>
    </row>
    <row r="95" spans="1:15" x14ac:dyDescent="0.3">
      <c r="A95" s="192"/>
      <c r="B95" s="98" t="str">
        <f>IF($C$15="cogé","","Conso électricité partie épurateur")</f>
        <v/>
      </c>
      <c r="C95" s="249"/>
      <c r="D95" s="354" t="s">
        <v>23</v>
      </c>
      <c r="E95" s="355"/>
      <c r="F95" s="92"/>
      <c r="G95" s="39" t="s">
        <v>87</v>
      </c>
      <c r="H95" s="55"/>
      <c r="I95" s="96">
        <v>0.06</v>
      </c>
      <c r="J95" s="96" t="e">
        <f>C98/C62</f>
        <v>#DIV/0!</v>
      </c>
      <c r="K95" s="96">
        <v>0.12</v>
      </c>
      <c r="L95" s="171" t="s">
        <v>88</v>
      </c>
      <c r="M95" s="144"/>
      <c r="N95" s="144"/>
      <c r="O95" s="145"/>
    </row>
    <row r="96" spans="1:15" x14ac:dyDescent="0.3">
      <c r="A96" s="192"/>
      <c r="B96" s="98" t="str">
        <f>IF($C$15="cogé","Conso électricité du site","Conso électricité du site hors épurateur")</f>
        <v>Conso électricité du site</v>
      </c>
      <c r="C96" s="249"/>
      <c r="D96" s="354" t="s">
        <v>23</v>
      </c>
      <c r="E96" s="355"/>
      <c r="F96" s="92"/>
      <c r="G96" s="39" t="s">
        <v>176</v>
      </c>
      <c r="H96" s="64"/>
      <c r="I96" s="96">
        <v>0</v>
      </c>
      <c r="J96" s="96" t="e">
        <f>IF(C15="cogé",C103*0.55*9.97*0.4/1000/C62,C103*0.55*10.8/1000/C62)</f>
        <v>#DIV/0!</v>
      </c>
      <c r="K96" s="96">
        <v>0.05</v>
      </c>
      <c r="L96" s="171" t="str">
        <f>IF(C15="cogé","MWH élect torché/MWhélect vendus","MWH biométhane torché/MWhbiométhane vendus")</f>
        <v>MWH élect torché/MWhélect vendus</v>
      </c>
      <c r="M96" s="144"/>
      <c r="N96" s="144"/>
      <c r="O96" s="145"/>
    </row>
    <row r="97" spans="1:15" x14ac:dyDescent="0.3">
      <c r="A97" s="192"/>
      <c r="B97" s="98" t="s">
        <v>147</v>
      </c>
      <c r="C97" s="249"/>
      <c r="D97" s="354" t="s">
        <v>23</v>
      </c>
      <c r="E97" s="355"/>
      <c r="F97" s="92"/>
      <c r="G97" s="39" t="s">
        <v>85</v>
      </c>
      <c r="H97" s="64"/>
      <c r="I97" s="96">
        <v>0.1</v>
      </c>
      <c r="J97" s="96">
        <f>IF(ISBLANK(C96),0,C97/(C98))</f>
        <v>0</v>
      </c>
      <c r="K97" s="96">
        <v>0.3</v>
      </c>
      <c r="L97" s="171" t="s">
        <v>80</v>
      </c>
      <c r="M97" s="144"/>
      <c r="N97" s="144"/>
      <c r="O97" s="145"/>
    </row>
    <row r="98" spans="1:15" x14ac:dyDescent="0.3">
      <c r="A98" s="192"/>
      <c r="B98" s="142" t="str">
        <f>+IF(C15="cogé","Consommation totale en électricité hors auxiliaires","Consommation totale en électricité")</f>
        <v>Consommation totale en électricité hors auxiliaires</v>
      </c>
      <c r="C98" s="227">
        <f>+C96+C95</f>
        <v>0</v>
      </c>
      <c r="D98" s="354" t="s">
        <v>23</v>
      </c>
      <c r="E98" s="355"/>
      <c r="F98" s="92"/>
      <c r="G98" s="39"/>
      <c r="H98" s="64"/>
      <c r="I98" s="96"/>
      <c r="K98" s="54"/>
      <c r="L98" s="54"/>
      <c r="M98" s="144"/>
      <c r="N98" s="144"/>
      <c r="O98" s="145"/>
    </row>
    <row r="99" spans="1:15" x14ac:dyDescent="0.3">
      <c r="A99" s="192"/>
      <c r="B99" s="98" t="str">
        <f>+IF(C15="cogé","Autoconso pour hygiénisation","Achat énergie grise pour hygiénisation")</f>
        <v>Autoconso pour hygiénisation</v>
      </c>
      <c r="C99" s="250"/>
      <c r="D99" s="354" t="s">
        <v>23</v>
      </c>
      <c r="E99" s="355"/>
      <c r="F99" s="92"/>
      <c r="G99" s="6"/>
      <c r="H99" s="6"/>
      <c r="I99" s="6"/>
      <c r="K99" s="6"/>
      <c r="L99" s="6"/>
      <c r="M99" s="6"/>
      <c r="N99" s="6"/>
    </row>
    <row r="100" spans="1:15" x14ac:dyDescent="0.3">
      <c r="A100" s="192"/>
      <c r="B100" s="98" t="str">
        <f>IF($C$15="cogé","Cogé autoconso auxilliaires élec relevée","Autoconsommation biométhane pour chauffage")</f>
        <v>Cogé autoconso auxilliaires élec relevée</v>
      </c>
      <c r="C100" s="250"/>
      <c r="D100" s="354" t="s">
        <v>23</v>
      </c>
      <c r="E100" s="355"/>
      <c r="F100" s="92"/>
      <c r="G100" s="6"/>
      <c r="I100" s="6"/>
      <c r="K100" s="6"/>
      <c r="L100" s="6"/>
      <c r="M100" s="6"/>
      <c r="N100" s="6"/>
    </row>
    <row r="101" spans="1:15" x14ac:dyDescent="0.3">
      <c r="A101" s="192"/>
      <c r="B101" s="98" t="str">
        <f>IF(C15="cogé","","Temps fonctionnement chaudière")</f>
        <v/>
      </c>
      <c r="C101" s="251"/>
      <c r="D101" s="354" t="s">
        <v>50</v>
      </c>
      <c r="E101" s="355"/>
      <c r="F101" s="92"/>
      <c r="G101" s="6"/>
      <c r="H101" s="6"/>
      <c r="I101" s="6"/>
      <c r="K101" s="6"/>
      <c r="L101" s="6"/>
      <c r="M101" s="6"/>
      <c r="N101" s="6"/>
    </row>
    <row r="102" spans="1:15" x14ac:dyDescent="0.3">
      <c r="A102" s="192"/>
      <c r="B102" s="97" t="s">
        <v>91</v>
      </c>
      <c r="C102" s="251"/>
      <c r="D102" s="354" t="s">
        <v>50</v>
      </c>
      <c r="E102" s="355"/>
      <c r="F102" s="92"/>
      <c r="G102" s="6"/>
      <c r="H102" s="6"/>
      <c r="I102" s="6"/>
      <c r="K102" s="6"/>
      <c r="L102" s="6"/>
      <c r="M102" s="6"/>
      <c r="N102" s="6"/>
    </row>
    <row r="103" spans="1:15" ht="16.2" thickBot="1" x14ac:dyDescent="0.35">
      <c r="A103" s="193"/>
      <c r="B103" s="99" t="s">
        <v>92</v>
      </c>
      <c r="C103" s="252"/>
      <c r="D103" s="356" t="s">
        <v>90</v>
      </c>
      <c r="E103" s="357"/>
      <c r="F103" s="92"/>
    </row>
    <row r="104" spans="1:15" ht="8.25" customHeight="1" thickBot="1" x14ac:dyDescent="0.35">
      <c r="A104" s="6"/>
      <c r="B104" s="6"/>
      <c r="C104" s="24"/>
      <c r="D104" s="24"/>
      <c r="E104" s="24"/>
      <c r="F104" s="92"/>
      <c r="G104" s="7"/>
      <c r="H104" s="7"/>
      <c r="I104" s="7"/>
      <c r="J104" s="7"/>
    </row>
    <row r="105" spans="1:15" ht="15.75" customHeight="1" x14ac:dyDescent="0.3">
      <c r="A105" s="345" t="s">
        <v>37</v>
      </c>
      <c r="B105" s="346"/>
      <c r="C105" s="346"/>
      <c r="D105" s="347" t="s">
        <v>36</v>
      </c>
      <c r="E105" s="348"/>
      <c r="F105" s="92"/>
      <c r="G105" s="45" t="s">
        <v>44</v>
      </c>
      <c r="H105" s="43"/>
      <c r="I105" s="43"/>
      <c r="J105" s="43"/>
      <c r="K105" s="44"/>
      <c r="L105" s="44"/>
      <c r="M105" s="44"/>
      <c r="N105" s="42"/>
    </row>
    <row r="106" spans="1:15" ht="16.5" customHeight="1" thickBot="1" x14ac:dyDescent="0.35">
      <c r="A106" s="349" t="s">
        <v>18</v>
      </c>
      <c r="B106" s="146" t="s">
        <v>4</v>
      </c>
      <c r="C106" s="240"/>
      <c r="D106" s="332" t="e">
        <f t="shared" ref="D106:D131" si="3">C106/$C$131</f>
        <v>#DIV/0!</v>
      </c>
      <c r="E106" s="333"/>
      <c r="F106" s="92"/>
    </row>
    <row r="107" spans="1:15" ht="27" customHeight="1" x14ac:dyDescent="0.3">
      <c r="A107" s="350"/>
      <c r="B107" s="146" t="s">
        <v>124</v>
      </c>
      <c r="C107" s="240"/>
      <c r="D107" s="332" t="e">
        <f t="shared" si="3"/>
        <v>#DIV/0!</v>
      </c>
      <c r="E107" s="333"/>
      <c r="F107" s="92"/>
      <c r="G107" s="184"/>
      <c r="H107" s="226" t="s">
        <v>36</v>
      </c>
      <c r="I107" s="228" t="s">
        <v>40</v>
      </c>
      <c r="J107" s="229" t="s">
        <v>41</v>
      </c>
      <c r="K107" s="25"/>
    </row>
    <row r="108" spans="1:15" ht="27" customHeight="1" x14ac:dyDescent="0.3">
      <c r="A108" s="351"/>
      <c r="B108" s="183" t="s">
        <v>187</v>
      </c>
      <c r="C108" s="253"/>
      <c r="D108" s="332" t="e">
        <f t="shared" si="3"/>
        <v>#DIV/0!</v>
      </c>
      <c r="E108" s="333"/>
      <c r="F108" s="92"/>
      <c r="G108" s="280" t="s">
        <v>18</v>
      </c>
      <c r="H108" s="275" t="e">
        <f>+(C106+C107+C108)/$C$131</f>
        <v>#DIV/0!</v>
      </c>
      <c r="I108" s="276" t="e">
        <f>+(C106+C107+C108)/$C$62</f>
        <v>#DIV/0!</v>
      </c>
      <c r="J108" s="277" t="e">
        <f>+(C106+C107+C108)/$C$86</f>
        <v>#DIV/0!</v>
      </c>
      <c r="K108" s="25"/>
    </row>
    <row r="109" spans="1:15" ht="21" customHeight="1" x14ac:dyDescent="0.3">
      <c r="A109" s="352" t="s">
        <v>19</v>
      </c>
      <c r="B109" s="115" t="s">
        <v>125</v>
      </c>
      <c r="C109" s="240"/>
      <c r="D109" s="332" t="e">
        <f t="shared" si="3"/>
        <v>#DIV/0!</v>
      </c>
      <c r="E109" s="333"/>
      <c r="F109" s="92"/>
      <c r="G109" s="280" t="s">
        <v>19</v>
      </c>
      <c r="H109" s="275" t="e">
        <f>+(C109+C110)/$C$131</f>
        <v>#DIV/0!</v>
      </c>
      <c r="I109" s="276" t="e">
        <f>+(C109+C110)/$C$62</f>
        <v>#DIV/0!</v>
      </c>
      <c r="J109" s="277" t="e">
        <f>+(C109+C110)/$C$86</f>
        <v>#DIV/0!</v>
      </c>
    </row>
    <row r="110" spans="1:15" ht="21" customHeight="1" x14ac:dyDescent="0.3">
      <c r="A110" s="353"/>
      <c r="B110" s="115" t="s">
        <v>188</v>
      </c>
      <c r="C110" s="253"/>
      <c r="D110" s="332" t="e">
        <f t="shared" si="3"/>
        <v>#DIV/0!</v>
      </c>
      <c r="E110" s="333"/>
      <c r="F110" s="92"/>
      <c r="G110" s="280" t="s">
        <v>20</v>
      </c>
      <c r="H110" s="275" t="e">
        <f>SUM(C111:C123)/$C$131</f>
        <v>#DIV/0!</v>
      </c>
      <c r="I110" s="276" t="e">
        <f>SUM(C111:C123)/$C$62</f>
        <v>#DIV/0!</v>
      </c>
      <c r="J110" s="277" t="e">
        <f>SUM(C111:C123)/$C$86</f>
        <v>#DIV/0!</v>
      </c>
    </row>
    <row r="111" spans="1:15" ht="21" customHeight="1" x14ac:dyDescent="0.3">
      <c r="A111" s="339" t="s">
        <v>38</v>
      </c>
      <c r="B111" s="115" t="s">
        <v>126</v>
      </c>
      <c r="C111" s="253"/>
      <c r="D111" s="332" t="e">
        <f t="shared" si="3"/>
        <v>#DIV/0!</v>
      </c>
      <c r="E111" s="333"/>
      <c r="F111" s="92"/>
      <c r="G111" s="274" t="s">
        <v>174</v>
      </c>
      <c r="H111" s="343"/>
      <c r="I111" s="290" t="e">
        <f>C120/$C$62</f>
        <v>#DIV/0!</v>
      </c>
      <c r="J111" s="278" t="e">
        <f>+C120/C86</f>
        <v>#DIV/0!</v>
      </c>
    </row>
    <row r="112" spans="1:15" ht="27" customHeight="1" x14ac:dyDescent="0.3">
      <c r="A112" s="340"/>
      <c r="B112" s="115" t="s">
        <v>201</v>
      </c>
      <c r="C112" s="253"/>
      <c r="D112" s="332" t="e">
        <f t="shared" si="3"/>
        <v>#DIV/0!</v>
      </c>
      <c r="E112" s="333"/>
      <c r="F112" s="92"/>
      <c r="G112" s="274" t="s">
        <v>175</v>
      </c>
      <c r="H112" s="344"/>
      <c r="I112" s="290" t="e">
        <f>SUM(C111:C114)/$C$62</f>
        <v>#DIV/0!</v>
      </c>
      <c r="J112" s="278" t="e">
        <f>+SUM(C111:C114)/C86</f>
        <v>#DIV/0!</v>
      </c>
    </row>
    <row r="113" spans="1:30" ht="21" customHeight="1" x14ac:dyDescent="0.3">
      <c r="A113" s="341"/>
      <c r="B113" s="115" t="str">
        <f>IF(C15="cogé","Maintenance/entretien cogénération","Maintenance/entretien épurateur")</f>
        <v>Maintenance/entretien cogénération</v>
      </c>
      <c r="C113" s="253"/>
      <c r="D113" s="332" t="e">
        <f t="shared" si="3"/>
        <v>#DIV/0!</v>
      </c>
      <c r="E113" s="333"/>
      <c r="F113" s="92"/>
      <c r="G113" s="281" t="s">
        <v>42</v>
      </c>
      <c r="H113" s="275" t="e">
        <f>+(C124+C126+C125)/$C$131</f>
        <v>#DIV/0!</v>
      </c>
      <c r="I113" s="276" t="e">
        <f>+(C125+C124+C126)/$C$62</f>
        <v>#DIV/0!</v>
      </c>
      <c r="J113" s="277" t="e">
        <f>+(C125+C124+C126)/$C$86</f>
        <v>#DIV/0!</v>
      </c>
    </row>
    <row r="114" spans="1:30" ht="27" customHeight="1" x14ac:dyDescent="0.3">
      <c r="A114" s="341"/>
      <c r="B114" s="115" t="str">
        <f>IF(C15="cogé","Maintenance/entretien cogénération (charge amortissable)","Maintenance/entretien épurateur (charge amortissable)")</f>
        <v>Maintenance/entretien cogénération (charge amortissable)</v>
      </c>
      <c r="C114" s="253"/>
      <c r="D114" s="332" t="e">
        <f t="shared" si="3"/>
        <v>#DIV/0!</v>
      </c>
      <c r="E114" s="333"/>
      <c r="F114" s="92"/>
      <c r="G114" s="280" t="s">
        <v>21</v>
      </c>
      <c r="H114" s="275" t="e">
        <f>+(C127+C128)/$C$131</f>
        <v>#DIV/0!</v>
      </c>
      <c r="I114" s="276" t="e">
        <f>+(C127+C128)/$C$62</f>
        <v>#DIV/0!</v>
      </c>
      <c r="J114" s="277" t="e">
        <f>+(C127+C128)/$C$86</f>
        <v>#DIV/0!</v>
      </c>
    </row>
    <row r="115" spans="1:30" ht="31.2" x14ac:dyDescent="0.3">
      <c r="A115" s="341"/>
      <c r="B115" s="284" t="s">
        <v>221</v>
      </c>
      <c r="C115" s="253"/>
      <c r="D115" s="332" t="e">
        <f t="shared" si="3"/>
        <v>#DIV/0!</v>
      </c>
      <c r="E115" s="333"/>
      <c r="F115" s="92"/>
      <c r="G115" s="282" t="s">
        <v>86</v>
      </c>
      <c r="H115" s="275" t="e">
        <f>+(C129+C130)/$C$131</f>
        <v>#DIV/0!</v>
      </c>
      <c r="I115" s="276" t="e">
        <f>+(C129+C130)/$C$62</f>
        <v>#DIV/0!</v>
      </c>
      <c r="J115" s="277" t="e">
        <f>+(C129+C130)/$C$86</f>
        <v>#DIV/0!</v>
      </c>
      <c r="K115" s="22"/>
    </row>
    <row r="116" spans="1:30" ht="45.6" thickBot="1" x14ac:dyDescent="0.35">
      <c r="A116" s="341"/>
      <c r="B116" s="284" t="s">
        <v>222</v>
      </c>
      <c r="C116" s="253"/>
      <c r="D116" s="332" t="e">
        <f t="shared" si="3"/>
        <v>#DIV/0!</v>
      </c>
      <c r="E116" s="333"/>
      <c r="F116" s="92"/>
      <c r="G116" s="283" t="s">
        <v>43</v>
      </c>
      <c r="H116" s="279" t="e">
        <f>SUM(H108:H110,H113:H115)</f>
        <v>#DIV/0!</v>
      </c>
      <c r="I116" s="291" t="e">
        <f>SUM(I108:I110,I113:I115)</f>
        <v>#DIV/0!</v>
      </c>
      <c r="J116" s="292" t="e">
        <f>SUM(J108:J110,J113:J115)</f>
        <v>#DIV/0!</v>
      </c>
      <c r="K116" s="22"/>
    </row>
    <row r="117" spans="1:30" ht="21" customHeight="1" x14ac:dyDescent="0.3">
      <c r="A117" s="341"/>
      <c r="B117" s="115" t="s">
        <v>189</v>
      </c>
      <c r="C117" s="253"/>
      <c r="D117" s="332" t="e">
        <f t="shared" si="3"/>
        <v>#DIV/0!</v>
      </c>
      <c r="E117" s="333"/>
      <c r="F117" s="92"/>
      <c r="K117" s="23"/>
    </row>
    <row r="118" spans="1:30" ht="27" customHeight="1" x14ac:dyDescent="0.3">
      <c r="A118" s="341"/>
      <c r="B118" s="115" t="s">
        <v>190</v>
      </c>
      <c r="C118" s="253"/>
      <c r="D118" s="332" t="e">
        <f t="shared" si="3"/>
        <v>#DIV/0!</v>
      </c>
      <c r="E118" s="333"/>
      <c r="F118" s="92"/>
    </row>
    <row r="119" spans="1:30" ht="27" customHeight="1" thickBot="1" x14ac:dyDescent="0.35">
      <c r="A119" s="341"/>
      <c r="B119" s="115" t="s">
        <v>141</v>
      </c>
      <c r="C119" s="253"/>
      <c r="D119" s="332" t="e">
        <f t="shared" si="3"/>
        <v>#DIV/0!</v>
      </c>
      <c r="E119" s="333"/>
      <c r="F119" s="92"/>
      <c r="L119" s="30"/>
      <c r="N119" s="10"/>
    </row>
    <row r="120" spans="1:30" ht="21" customHeight="1" x14ac:dyDescent="0.3">
      <c r="A120" s="341"/>
      <c r="B120" s="115" t="s">
        <v>96</v>
      </c>
      <c r="C120" s="253"/>
      <c r="D120" s="332" t="e">
        <f t="shared" si="3"/>
        <v>#DIV/0!</v>
      </c>
      <c r="E120" s="333"/>
      <c r="F120" s="92"/>
      <c r="G120" s="149"/>
      <c r="H120" s="150" t="s">
        <v>128</v>
      </c>
      <c r="I120" s="151" t="s">
        <v>260</v>
      </c>
      <c r="J120" s="151" t="s">
        <v>146</v>
      </c>
      <c r="K120" s="152" t="s">
        <v>285</v>
      </c>
      <c r="L120" s="153" t="s">
        <v>84</v>
      </c>
    </row>
    <row r="121" spans="1:30" ht="27" customHeight="1" x14ac:dyDescent="0.3">
      <c r="A121" s="341"/>
      <c r="B121" s="115" t="s">
        <v>127</v>
      </c>
      <c r="C121" s="253"/>
      <c r="D121" s="332" t="e">
        <f t="shared" si="3"/>
        <v>#DIV/0!</v>
      </c>
      <c r="E121" s="333"/>
      <c r="F121" s="92"/>
      <c r="G121" s="154" t="str">
        <f>G108</f>
        <v>APPRO</v>
      </c>
      <c r="H121" s="155" t="e">
        <f>I108</f>
        <v>#DIV/0!</v>
      </c>
      <c r="I121" s="167">
        <f t="shared" ref="I121:I126" si="4">+IF($C$15="Cogé",AD126,AC126)</f>
        <v>68.161279894563918</v>
      </c>
      <c r="J121" s="157"/>
      <c r="K121" s="139"/>
      <c r="L121" s="158"/>
    </row>
    <row r="122" spans="1:30" ht="21" customHeight="1" x14ac:dyDescent="0.3">
      <c r="A122" s="341"/>
      <c r="B122" s="115" t="s">
        <v>142</v>
      </c>
      <c r="C122" s="253"/>
      <c r="D122" s="332" t="e">
        <f t="shared" si="3"/>
        <v>#DIV/0!</v>
      </c>
      <c r="E122" s="333"/>
      <c r="F122" s="92"/>
      <c r="G122" s="154" t="str">
        <f>G109</f>
        <v>DIGESTAT</v>
      </c>
      <c r="H122" s="155" t="e">
        <f>I109</f>
        <v>#DIV/0!</v>
      </c>
      <c r="I122" s="167">
        <f t="shared" si="4"/>
        <v>14.641098695151385</v>
      </c>
      <c r="J122" s="157"/>
      <c r="K122" s="139"/>
      <c r="L122" s="158"/>
    </row>
    <row r="123" spans="1:30" ht="21" customHeight="1" x14ac:dyDescent="0.3">
      <c r="A123" s="342"/>
      <c r="B123" s="115" t="s">
        <v>191</v>
      </c>
      <c r="C123" s="253"/>
      <c r="D123" s="332" t="e">
        <f t="shared" si="3"/>
        <v>#DIV/0!</v>
      </c>
      <c r="E123" s="333"/>
      <c r="F123" s="92"/>
      <c r="G123" s="154" t="str">
        <f>G110</f>
        <v>EXPLOITATION</v>
      </c>
      <c r="H123" s="155" t="e">
        <f>I110</f>
        <v>#DIV/0!</v>
      </c>
      <c r="I123" s="167">
        <f t="shared" si="4"/>
        <v>65.433883716714618</v>
      </c>
      <c r="J123" s="157"/>
      <c r="K123" s="139"/>
      <c r="L123" s="158"/>
    </row>
    <row r="124" spans="1:30" ht="21" customHeight="1" x14ac:dyDescent="0.3">
      <c r="A124" s="336" t="s">
        <v>39</v>
      </c>
      <c r="B124" s="115" t="s">
        <v>5</v>
      </c>
      <c r="C124" s="253"/>
      <c r="D124" s="332" t="e">
        <f t="shared" si="3"/>
        <v>#DIV/0!</v>
      </c>
      <c r="E124" s="333"/>
      <c r="F124" s="92"/>
      <c r="G124" s="154" t="str">
        <f>G113</f>
        <v>AUTRES</v>
      </c>
      <c r="H124" s="155" t="e">
        <f>I113</f>
        <v>#DIV/0!</v>
      </c>
      <c r="I124" s="167">
        <f t="shared" si="4"/>
        <v>10.772352824879945</v>
      </c>
      <c r="J124" s="157"/>
      <c r="K124" s="139"/>
      <c r="L124" s="158"/>
    </row>
    <row r="125" spans="1:30" ht="21" customHeight="1" x14ac:dyDescent="0.3">
      <c r="A125" s="337"/>
      <c r="B125" s="115" t="s">
        <v>6</v>
      </c>
      <c r="C125" s="253"/>
      <c r="D125" s="332" t="e">
        <f t="shared" si="3"/>
        <v>#DIV/0!</v>
      </c>
      <c r="E125" s="333"/>
      <c r="F125" s="92"/>
      <c r="G125" s="154" t="str">
        <f>G114</f>
        <v>TRAVAIL</v>
      </c>
      <c r="H125" s="155" t="e">
        <f>I114</f>
        <v>#DIV/0!</v>
      </c>
      <c r="I125" s="167">
        <f t="shared" si="4"/>
        <v>16.411797270432913</v>
      </c>
      <c r="J125" s="157"/>
      <c r="K125" s="139"/>
      <c r="L125" s="158"/>
      <c r="Z125" s="168" t="s">
        <v>129</v>
      </c>
      <c r="AA125" s="168" t="s">
        <v>133</v>
      </c>
      <c r="AB125" s="168" t="s">
        <v>95</v>
      </c>
      <c r="AC125" s="296" t="s">
        <v>284</v>
      </c>
      <c r="AD125" s="296" t="s">
        <v>283</v>
      </c>
    </row>
    <row r="126" spans="1:30" ht="21" customHeight="1" x14ac:dyDescent="0.4">
      <c r="A126" s="337"/>
      <c r="B126" s="254" t="s">
        <v>179</v>
      </c>
      <c r="C126" s="253"/>
      <c r="D126" s="332" t="e">
        <f t="shared" si="3"/>
        <v>#DIV/0!</v>
      </c>
      <c r="E126" s="333"/>
      <c r="F126" s="114"/>
      <c r="G126" s="154" t="str">
        <f>G115</f>
        <v>INVEST</v>
      </c>
      <c r="H126" s="155" t="e">
        <f>I115</f>
        <v>#DIV/0!</v>
      </c>
      <c r="I126" s="167">
        <f t="shared" si="4"/>
        <v>70.087181862015711</v>
      </c>
      <c r="J126" s="157"/>
      <c r="K126" s="139"/>
      <c r="L126" s="158"/>
      <c r="Z126" s="169" t="s">
        <v>105</v>
      </c>
      <c r="AA126" s="170">
        <v>23.717309818123461</v>
      </c>
      <c r="AB126" s="170">
        <v>45.654648841549864</v>
      </c>
      <c r="AC126" s="170">
        <v>34.573377197383913</v>
      </c>
      <c r="AD126" s="170">
        <v>68.161279894563918</v>
      </c>
    </row>
    <row r="127" spans="1:30" ht="27" customHeight="1" x14ac:dyDescent="0.4">
      <c r="A127" s="330" t="s">
        <v>21</v>
      </c>
      <c r="B127" s="116" t="s">
        <v>192</v>
      </c>
      <c r="C127" s="253"/>
      <c r="D127" s="332" t="e">
        <f t="shared" si="3"/>
        <v>#DIV/0!</v>
      </c>
      <c r="E127" s="333"/>
      <c r="F127" s="114"/>
      <c r="G127" s="154" t="str">
        <f>IF(C15="Cogé","Produit cogé","Produit CH4")</f>
        <v>Produit cogé</v>
      </c>
      <c r="H127" s="159"/>
      <c r="I127" s="156"/>
      <c r="J127" s="155">
        <f>C63</f>
        <v>0</v>
      </c>
      <c r="K127" s="139">
        <f>+IF($C$15="Cogé",AD133,AC133)</f>
        <v>223.4539850282946</v>
      </c>
      <c r="L127" s="158"/>
      <c r="Z127" s="169" t="s">
        <v>130</v>
      </c>
      <c r="AA127" s="170">
        <v>4.5056720361055396</v>
      </c>
      <c r="AB127" s="170">
        <v>11.266998250962201</v>
      </c>
      <c r="AC127" s="170">
        <v>5.6386940576873172</v>
      </c>
      <c r="AD127" s="170">
        <v>14.641098695151385</v>
      </c>
    </row>
    <row r="128" spans="1:30" ht="21" customHeight="1" x14ac:dyDescent="0.4">
      <c r="A128" s="338"/>
      <c r="B128" s="115" t="s">
        <v>14</v>
      </c>
      <c r="C128" s="253"/>
      <c r="D128" s="332" t="e">
        <f t="shared" si="3"/>
        <v>#DIV/0!</v>
      </c>
      <c r="E128" s="333"/>
      <c r="F128" s="94"/>
      <c r="G128" s="154" t="str">
        <f>IF(C15="Cogé","Produit annexe","Produit annexe")</f>
        <v>Produit annexe</v>
      </c>
      <c r="H128" s="160"/>
      <c r="I128" s="156"/>
      <c r="J128" s="161" t="e">
        <f>+J74-J127</f>
        <v>#DIV/0!</v>
      </c>
      <c r="K128" s="139">
        <f>+IF($C$15="Cogé",AD134,AC134)</f>
        <v>26.411510628931779</v>
      </c>
      <c r="L128" s="162"/>
      <c r="Z128" s="169" t="s">
        <v>131</v>
      </c>
      <c r="AA128" s="170">
        <v>25.695073476028629</v>
      </c>
      <c r="AB128" s="170">
        <v>43.909664682523172</v>
      </c>
      <c r="AC128" s="170">
        <v>34.993407120514377</v>
      </c>
      <c r="AD128" s="170">
        <v>65.433883716714618</v>
      </c>
    </row>
    <row r="129" spans="1:31" ht="31.8" thickBot="1" x14ac:dyDescent="0.45">
      <c r="A129" s="330" t="s">
        <v>86</v>
      </c>
      <c r="B129" s="115" t="s">
        <v>227</v>
      </c>
      <c r="C129" s="253"/>
      <c r="D129" s="332" t="e">
        <f t="shared" si="3"/>
        <v>#DIV/0!</v>
      </c>
      <c r="E129" s="333"/>
      <c r="F129" s="92"/>
      <c r="G129" s="148" t="s">
        <v>84</v>
      </c>
      <c r="H129" s="163"/>
      <c r="I129" s="164"/>
      <c r="J129" s="165"/>
      <c r="K129" s="163"/>
      <c r="L129" s="166" t="e">
        <f>C133/C62</f>
        <v>#DIV/0!</v>
      </c>
      <c r="Z129" s="169" t="s">
        <v>106</v>
      </c>
      <c r="AA129" s="170">
        <v>5.3217918247903313</v>
      </c>
      <c r="AB129" s="170">
        <v>13.188557543233596</v>
      </c>
      <c r="AC129" s="170">
        <v>5.6565528860243131</v>
      </c>
      <c r="AD129" s="170">
        <v>10.772352824879945</v>
      </c>
    </row>
    <row r="130" spans="1:31" ht="21" customHeight="1" x14ac:dyDescent="0.4">
      <c r="A130" s="331"/>
      <c r="B130" s="115" t="s">
        <v>17</v>
      </c>
      <c r="C130" s="253"/>
      <c r="D130" s="332" t="e">
        <f t="shared" si="3"/>
        <v>#DIV/0!</v>
      </c>
      <c r="E130" s="333"/>
      <c r="F130" s="93"/>
      <c r="G130" s="147"/>
      <c r="H130" s="147"/>
      <c r="I130" s="147"/>
      <c r="O130" s="5"/>
      <c r="Z130" s="169" t="s">
        <v>132</v>
      </c>
      <c r="AA130" s="170">
        <v>7.0073289354663011</v>
      </c>
      <c r="AB130" s="170">
        <v>14.376544347146764</v>
      </c>
      <c r="AC130" s="170">
        <v>8.3011605305550962</v>
      </c>
      <c r="AD130" s="170">
        <v>16.411797270432913</v>
      </c>
    </row>
    <row r="131" spans="1:31" ht="21.6" thickBot="1" x14ac:dyDescent="0.45">
      <c r="A131" s="185"/>
      <c r="B131" s="56" t="s">
        <v>7</v>
      </c>
      <c r="C131" s="121">
        <f>SUM(C106:C130)</f>
        <v>0</v>
      </c>
      <c r="D131" s="334" t="e">
        <f t="shared" si="3"/>
        <v>#DIV/0!</v>
      </c>
      <c r="E131" s="335"/>
      <c r="F131" s="93"/>
      <c r="G131" s="147"/>
      <c r="H131" s="147"/>
      <c r="I131" s="147"/>
      <c r="Z131" s="169" t="s">
        <v>107</v>
      </c>
      <c r="AA131" s="170">
        <v>37.529153486284137</v>
      </c>
      <c r="AB131" s="170">
        <v>78.948553978941248</v>
      </c>
      <c r="AC131" s="170">
        <v>41.563749504792014</v>
      </c>
      <c r="AD131" s="170">
        <v>70.087181862015711</v>
      </c>
    </row>
    <row r="132" spans="1:31" s="5" customFormat="1" ht="12" customHeight="1" thickBot="1" x14ac:dyDescent="0.35">
      <c r="A132" s="32"/>
      <c r="B132" s="32"/>
      <c r="C132" s="32"/>
      <c r="D132" s="32"/>
      <c r="E132" s="32"/>
      <c r="F132" s="93"/>
      <c r="G132" s="147"/>
      <c r="H132" s="147"/>
      <c r="I132" s="147"/>
      <c r="J132" s="26"/>
      <c r="K132" s="7"/>
      <c r="L132" s="7"/>
      <c r="M132" s="7"/>
      <c r="N132" s="7"/>
      <c r="O132"/>
      <c r="Z132"/>
      <c r="AA132"/>
      <c r="AB132"/>
      <c r="AC132"/>
      <c r="AD132"/>
      <c r="AE132"/>
    </row>
    <row r="133" spans="1:31" ht="21.75" customHeight="1" thickBot="1" x14ac:dyDescent="0.45">
      <c r="A133" s="117" t="s">
        <v>8</v>
      </c>
      <c r="B133" s="113"/>
      <c r="C133" s="172">
        <f>C75-C131</f>
        <v>0</v>
      </c>
      <c r="D133" s="172"/>
      <c r="E133" s="173"/>
      <c r="F133" s="92"/>
      <c r="G133" s="147"/>
      <c r="H133" s="147"/>
      <c r="I133" s="147"/>
      <c r="Z133" s="169" t="s">
        <v>144</v>
      </c>
      <c r="AA133" s="186">
        <v>139</v>
      </c>
      <c r="AB133" s="186">
        <v>208</v>
      </c>
      <c r="AC133" s="186">
        <v>134.91</v>
      </c>
      <c r="AD133" s="186">
        <v>223.4539850282946</v>
      </c>
      <c r="AE133" s="5"/>
    </row>
    <row r="134" spans="1:31" ht="14.25" customHeight="1" thickBot="1" x14ac:dyDescent="0.45">
      <c r="B134" s="18"/>
      <c r="C134" s="19"/>
      <c r="D134" s="19"/>
      <c r="E134" s="33"/>
      <c r="F134" s="90"/>
      <c r="G134" s="147"/>
      <c r="H134" s="147"/>
      <c r="I134" s="147"/>
      <c r="J134" s="7"/>
      <c r="Z134" s="169" t="s">
        <v>145</v>
      </c>
      <c r="AA134" s="186">
        <v>3.4</v>
      </c>
      <c r="AB134" s="186">
        <v>27</v>
      </c>
      <c r="AC134" s="298">
        <f>140.45-AC133</f>
        <v>5.539999999999992</v>
      </c>
      <c r="AD134" s="186">
        <v>26.411510628931779</v>
      </c>
    </row>
    <row r="135" spans="1:31" ht="18" x14ac:dyDescent="0.35">
      <c r="A135" s="174" t="s">
        <v>138</v>
      </c>
      <c r="B135" s="175"/>
      <c r="C135" s="176"/>
      <c r="D135" s="176"/>
      <c r="E135" s="177"/>
      <c r="F135" s="178"/>
      <c r="G135" s="179"/>
      <c r="H135" s="179"/>
      <c r="I135" s="179"/>
      <c r="J135" s="137"/>
      <c r="K135" s="180"/>
      <c r="L135" s="181"/>
      <c r="M135" s="181"/>
      <c r="N135" s="182"/>
      <c r="O135" s="20"/>
    </row>
    <row r="136" spans="1:31" s="20" customFormat="1" x14ac:dyDescent="0.3">
      <c r="A136" s="401"/>
      <c r="B136" s="402"/>
      <c r="C136" s="402"/>
      <c r="D136" s="402"/>
      <c r="E136" s="402"/>
      <c r="F136" s="402"/>
      <c r="G136" s="402"/>
      <c r="H136" s="402"/>
      <c r="I136" s="402"/>
      <c r="J136" s="402"/>
      <c r="K136" s="402"/>
      <c r="L136" s="402"/>
      <c r="M136" s="402"/>
      <c r="N136" s="403"/>
      <c r="O136"/>
      <c r="W136"/>
      <c r="X136"/>
      <c r="Y136"/>
      <c r="Z136"/>
      <c r="AA136"/>
      <c r="AB136"/>
      <c r="AC136"/>
      <c r="AD136"/>
      <c r="AE136"/>
    </row>
    <row r="137" spans="1:31" x14ac:dyDescent="0.3">
      <c r="A137" s="401"/>
      <c r="B137" s="402"/>
      <c r="C137" s="402"/>
      <c r="D137" s="402"/>
      <c r="E137" s="402"/>
      <c r="F137" s="402"/>
      <c r="G137" s="402"/>
      <c r="H137" s="402"/>
      <c r="I137" s="402"/>
      <c r="J137" s="402"/>
      <c r="K137" s="402"/>
      <c r="L137" s="402"/>
      <c r="M137" s="402"/>
      <c r="N137" s="403"/>
      <c r="AC137" s="20"/>
      <c r="AD137" s="20"/>
      <c r="AE137" s="20"/>
    </row>
    <row r="138" spans="1:31" x14ac:dyDescent="0.3">
      <c r="A138" s="401"/>
      <c r="B138" s="402"/>
      <c r="C138" s="402"/>
      <c r="D138" s="402"/>
      <c r="E138" s="402"/>
      <c r="F138" s="402"/>
      <c r="G138" s="402"/>
      <c r="H138" s="402"/>
      <c r="I138" s="402"/>
      <c r="J138" s="402"/>
      <c r="K138" s="402"/>
      <c r="L138" s="402"/>
      <c r="M138" s="402"/>
      <c r="N138" s="403"/>
    </row>
    <row r="139" spans="1:31" ht="16.2" thickBot="1" x14ac:dyDescent="0.35">
      <c r="A139" s="404"/>
      <c r="B139" s="405"/>
      <c r="C139" s="405"/>
      <c r="D139" s="405"/>
      <c r="E139" s="405"/>
      <c r="F139" s="405"/>
      <c r="G139" s="405"/>
      <c r="H139" s="405"/>
      <c r="I139" s="405"/>
      <c r="J139" s="405"/>
      <c r="K139" s="405"/>
      <c r="L139" s="405"/>
      <c r="M139" s="405"/>
      <c r="N139" s="406"/>
    </row>
    <row r="140" spans="1:31" x14ac:dyDescent="0.3">
      <c r="J140" s="7"/>
      <c r="N140"/>
    </row>
  </sheetData>
  <sheetProtection algorithmName="SHA-512" hashValue="pj+EhUPcdfnM13okWwV46yTkNOXw8v9Ew9wab+Cw6aErqnmy9J0ROnVQZVIVV0UUwovBidV9HVaFRQEOAGVXVA==" saltValue="GLMSN257BWSIG1jU6ykypg==" spinCount="100000" sheet="1" objects="1" scenarios="1"/>
  <mergeCells count="150">
    <mergeCell ref="A1:N1"/>
    <mergeCell ref="A3:N3"/>
    <mergeCell ref="G5:N5"/>
    <mergeCell ref="G6:N8"/>
    <mergeCell ref="A10:B10"/>
    <mergeCell ref="G10:N10"/>
    <mergeCell ref="A13:C13"/>
    <mergeCell ref="D13:E13"/>
    <mergeCell ref="G13:N30"/>
    <mergeCell ref="C14:E14"/>
    <mergeCell ref="D15:E15"/>
    <mergeCell ref="D16:E16"/>
    <mergeCell ref="C17:E17"/>
    <mergeCell ref="D18:E18"/>
    <mergeCell ref="D19:E19"/>
    <mergeCell ref="D20:E20"/>
    <mergeCell ref="D21:E21"/>
    <mergeCell ref="D23:E23"/>
    <mergeCell ref="D30:E30"/>
    <mergeCell ref="G34:I34"/>
    <mergeCell ref="D35:E35"/>
    <mergeCell ref="D36:E36"/>
    <mergeCell ref="D37:E37"/>
    <mergeCell ref="D38:E38"/>
    <mergeCell ref="D39:E39"/>
    <mergeCell ref="D49:E49"/>
    <mergeCell ref="D50:E50"/>
    <mergeCell ref="A32:B32"/>
    <mergeCell ref="D32:E32"/>
    <mergeCell ref="F32:F45"/>
    <mergeCell ref="D33:E33"/>
    <mergeCell ref="D34:E34"/>
    <mergeCell ref="D40:E40"/>
    <mergeCell ref="D41:E41"/>
    <mergeCell ref="G44:H44"/>
    <mergeCell ref="D47:E47"/>
    <mergeCell ref="D51:E51"/>
    <mergeCell ref="D52:E52"/>
    <mergeCell ref="D54:E54"/>
    <mergeCell ref="D55:E55"/>
    <mergeCell ref="D42:E42"/>
    <mergeCell ref="D43:E43"/>
    <mergeCell ref="D44:E44"/>
    <mergeCell ref="L57:N57"/>
    <mergeCell ref="D58:E58"/>
    <mergeCell ref="H58:I58"/>
    <mergeCell ref="J58:K58"/>
    <mergeCell ref="L58:N58"/>
    <mergeCell ref="H55:I55"/>
    <mergeCell ref="J55:K55"/>
    <mergeCell ref="L55:N55"/>
    <mergeCell ref="D56:E56"/>
    <mergeCell ref="H56:I56"/>
    <mergeCell ref="J56:K56"/>
    <mergeCell ref="L56:N56"/>
    <mergeCell ref="D48:E48"/>
    <mergeCell ref="A60:C60"/>
    <mergeCell ref="D60:E60"/>
    <mergeCell ref="D62:E62"/>
    <mergeCell ref="D63:E63"/>
    <mergeCell ref="D64:E64"/>
    <mergeCell ref="D65:E65"/>
    <mergeCell ref="D57:E57"/>
    <mergeCell ref="H57:I57"/>
    <mergeCell ref="J57:K57"/>
    <mergeCell ref="D69:E69"/>
    <mergeCell ref="G69:I69"/>
    <mergeCell ref="D70:E70"/>
    <mergeCell ref="G70:I70"/>
    <mergeCell ref="D71:E71"/>
    <mergeCell ref="G71:I71"/>
    <mergeCell ref="D66:E66"/>
    <mergeCell ref="G66:I66"/>
    <mergeCell ref="D67:E67"/>
    <mergeCell ref="G67:I67"/>
    <mergeCell ref="D68:E68"/>
    <mergeCell ref="G68:I68"/>
    <mergeCell ref="D75:E75"/>
    <mergeCell ref="G75:I75"/>
    <mergeCell ref="A77:C77"/>
    <mergeCell ref="D77:E77"/>
    <mergeCell ref="D78:E78"/>
    <mergeCell ref="D79:E79"/>
    <mergeCell ref="D72:E72"/>
    <mergeCell ref="G72:I72"/>
    <mergeCell ref="D73:E73"/>
    <mergeCell ref="G73:J73"/>
    <mergeCell ref="D74:E74"/>
    <mergeCell ref="G74:I74"/>
    <mergeCell ref="D86:E86"/>
    <mergeCell ref="D87:E87"/>
    <mergeCell ref="D88:E88"/>
    <mergeCell ref="D89:E89"/>
    <mergeCell ref="I89:K89"/>
    <mergeCell ref="D90:E90"/>
    <mergeCell ref="I90:K90"/>
    <mergeCell ref="D80:E80"/>
    <mergeCell ref="D81:E81"/>
    <mergeCell ref="D82:E82"/>
    <mergeCell ref="D83:E83"/>
    <mergeCell ref="D84:E84"/>
    <mergeCell ref="D85:E85"/>
    <mergeCell ref="D98:E98"/>
    <mergeCell ref="D99:E99"/>
    <mergeCell ref="D100:E100"/>
    <mergeCell ref="D101:E101"/>
    <mergeCell ref="D102:E102"/>
    <mergeCell ref="D103:E103"/>
    <mergeCell ref="A92:C92"/>
    <mergeCell ref="D92:E92"/>
    <mergeCell ref="D94:E94"/>
    <mergeCell ref="D95:E95"/>
    <mergeCell ref="D96:E96"/>
    <mergeCell ref="D97:E97"/>
    <mergeCell ref="H111:H112"/>
    <mergeCell ref="D112:E112"/>
    <mergeCell ref="D113:E113"/>
    <mergeCell ref="D114:E114"/>
    <mergeCell ref="D115:E115"/>
    <mergeCell ref="A105:C105"/>
    <mergeCell ref="D105:E105"/>
    <mergeCell ref="A106:A108"/>
    <mergeCell ref="D106:E106"/>
    <mergeCell ref="D107:E107"/>
    <mergeCell ref="D108:E108"/>
    <mergeCell ref="D116:E116"/>
    <mergeCell ref="D117:E117"/>
    <mergeCell ref="D118:E118"/>
    <mergeCell ref="D119:E119"/>
    <mergeCell ref="D120:E120"/>
    <mergeCell ref="D121:E121"/>
    <mergeCell ref="A109:A110"/>
    <mergeCell ref="D109:E109"/>
    <mergeCell ref="D110:E110"/>
    <mergeCell ref="A111:A123"/>
    <mergeCell ref="D111:E111"/>
    <mergeCell ref="D131:E131"/>
    <mergeCell ref="A136:N139"/>
    <mergeCell ref="A127:A128"/>
    <mergeCell ref="D127:E127"/>
    <mergeCell ref="D128:E128"/>
    <mergeCell ref="A129:A130"/>
    <mergeCell ref="D129:E129"/>
    <mergeCell ref="D130:E130"/>
    <mergeCell ref="D122:E122"/>
    <mergeCell ref="D123:E123"/>
    <mergeCell ref="A124:A126"/>
    <mergeCell ref="D124:E124"/>
    <mergeCell ref="D125:E125"/>
    <mergeCell ref="D126:E126"/>
  </mergeCells>
  <conditionalFormatting sqref="B44">
    <cfRule type="cellIs" dxfId="16" priority="13" operator="equal">
      <formula>"Autre, Préciser :"</formula>
    </cfRule>
  </conditionalFormatting>
  <conditionalFormatting sqref="B57">
    <cfRule type="cellIs" dxfId="15" priority="5" operator="equal">
      <formula>"Autre, Préciser :"</formula>
    </cfRule>
  </conditionalFormatting>
  <conditionalFormatting sqref="B73">
    <cfRule type="cellIs" dxfId="14" priority="4" operator="equal">
      <formula>"Autre, Préciser :"</formula>
    </cfRule>
  </conditionalFormatting>
  <conditionalFormatting sqref="B126">
    <cfRule type="cellIs" dxfId="13" priority="17" operator="equal">
      <formula>"Autre, Préciser :"</formula>
    </cfRule>
  </conditionalFormatting>
  <conditionalFormatting sqref="C33:C45">
    <cfRule type="cellIs" dxfId="12" priority="12" operator="equal">
      <formula>"Obligatoire"</formula>
    </cfRule>
  </conditionalFormatting>
  <conditionalFormatting sqref="C48:C51">
    <cfRule type="cellIs" dxfId="11" priority="15" operator="equal">
      <formula>"Obligatoire"</formula>
    </cfRule>
  </conditionalFormatting>
  <conditionalFormatting sqref="C55:C57">
    <cfRule type="cellIs" dxfId="10" priority="14" operator="equal">
      <formula>"Obligatoire"</formula>
    </cfRule>
  </conditionalFormatting>
  <conditionalFormatting sqref="C61:C75">
    <cfRule type="cellIs" dxfId="9" priority="1" operator="equal">
      <formula>"Obligatoire"</formula>
    </cfRule>
  </conditionalFormatting>
  <conditionalFormatting sqref="C94:C98">
    <cfRule type="cellIs" dxfId="8" priority="8" operator="equal">
      <formula>"Obligatoire"</formula>
    </cfRule>
  </conditionalFormatting>
  <conditionalFormatting sqref="C106:C131">
    <cfRule type="cellIs" dxfId="7" priority="2" operator="equal">
      <formula>"Obligatoire"</formula>
    </cfRule>
  </conditionalFormatting>
  <conditionalFormatting sqref="C93:D93">
    <cfRule type="cellIs" dxfId="6" priority="11" operator="equal">
      <formula>"Obligatoire"</formula>
    </cfRule>
  </conditionalFormatting>
  <conditionalFormatting sqref="C14:E15 C16:D16 C17 C18:D21">
    <cfRule type="cellIs" dxfId="5" priority="16" operator="equal">
      <formula>"Obligatoire"</formula>
    </cfRule>
  </conditionalFormatting>
  <conditionalFormatting sqref="C22:E24">
    <cfRule type="cellIs" dxfId="4" priority="7" operator="equal">
      <formula>"Obligatoire"</formula>
    </cfRule>
  </conditionalFormatting>
  <conditionalFormatting sqref="D33">
    <cfRule type="cellIs" dxfId="3" priority="3" operator="equal">
      <formula>"Obligatoire"</formula>
    </cfRule>
  </conditionalFormatting>
  <conditionalFormatting sqref="D25:E26 C25:C29">
    <cfRule type="cellIs" dxfId="2" priority="9" operator="equal">
      <formula>"Obligatoire"</formula>
    </cfRule>
  </conditionalFormatting>
  <conditionalFormatting sqref="D61:E61">
    <cfRule type="cellIs" dxfId="1" priority="6" operator="equal">
      <formula>"Obligatoire"</formula>
    </cfRule>
  </conditionalFormatting>
  <conditionalFormatting sqref="H89">
    <cfRule type="cellIs" dxfId="0" priority="10" operator="greaterThan">
      <formula>0.15</formula>
    </cfRule>
  </conditionalFormatting>
  <dataValidations count="7">
    <dataValidation type="list" allowBlank="1" showInputMessage="1" showErrorMessage="1" sqref="C20" xr:uid="{84D4E383-76E3-4758-90B8-180BB2957912}">
      <formula1>"Majorité effluents,Majorité CIVE,Majorité déchets,Mixte"</formula1>
    </dataValidation>
    <dataValidation type="list" allowBlank="1" showInputMessage="1" showErrorMessage="1" sqref="C20" xr:uid="{A344F4BA-C13E-4745-9C36-98CBEFAF1B20}">
      <formula1>"Majorité effluent, Majorité CIVE,Majorité déchet,Mixte"</formula1>
    </dataValidation>
    <dataValidation type="list" allowBlank="1" showInputMessage="1" showErrorMessage="1" sqref="C19" xr:uid="{DFB0A9DC-5E10-4F6B-A5E5-CBB62FFB2608}">
      <formula1>"A la ferme,Petit collectif,Territoriale"</formula1>
    </dataValidation>
    <dataValidation type="list" allowBlank="1" showInputMessage="1" showErrorMessage="1" sqref="C32:C33" xr:uid="{1918230F-CDFA-4C33-BDC3-9072D57A12F2}">
      <formula1>"Prévisionnel,Réalisé"</formula1>
    </dataValidation>
    <dataValidation type="list" allowBlank="1" showInputMessage="1" showErrorMessage="1" sqref="C18" xr:uid="{D66D60AB-EC4A-41D5-A362-27540C6A7B2C}">
      <formula1>$Y$18:$Y$21</formula1>
    </dataValidation>
    <dataValidation type="list" allowBlank="1" showInputMessage="1" showErrorMessage="1" sqref="C15" xr:uid="{2E0D12AF-56C0-4D06-AB0D-EA8336E23E9D}">
      <formula1>"Cogé,Injection,A REMPLIR"</formula1>
    </dataValidation>
    <dataValidation type="list" allowBlank="1" showInputMessage="1" showErrorMessage="1" sqref="C21" xr:uid="{1976B364-380A-41E1-86DF-3E753002294C}">
      <formula1>"Déclaration,Enregistrement,Autorisation"</formula1>
    </dataValidation>
  </dataValidations>
  <pageMargins left="0.70866141732283472" right="0.70866141732283472" top="0.19685039370078741" bottom="0.15748031496062992" header="0.27559055118110237" footer="0.18"/>
  <pageSetup paperSize="8" fitToHeight="0" orientation="landscape" r:id="rId1"/>
  <headerFooter>
    <oddFooter>&amp;R&amp;P/3</oddFooter>
  </headerFooter>
  <rowBreaks count="1" manualBreakCount="1">
    <brk id="10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7</vt:i4>
      </vt:variant>
    </vt:vector>
  </HeadingPairs>
  <TitlesOfParts>
    <vt:vector size="12" baseType="lpstr">
      <vt:lpstr>2024</vt:lpstr>
      <vt:lpstr>Simulation conversion</vt:lpstr>
      <vt:lpstr>2021</vt:lpstr>
      <vt:lpstr>Comparaison interannuelle</vt:lpstr>
      <vt:lpstr>À copier</vt:lpstr>
      <vt:lpstr>'2021'!Impression_des_titres</vt:lpstr>
      <vt:lpstr>'2024'!Impression_des_titres</vt:lpstr>
      <vt:lpstr>'À copier'!Impression_des_titres</vt:lpstr>
      <vt:lpstr>'2021'!Zone_d_impression</vt:lpstr>
      <vt:lpstr>'2024'!Zone_d_impression</vt:lpstr>
      <vt:lpstr>'À copier'!Zone_d_impression</vt:lpstr>
      <vt:lpstr>'Comparaison interannuelle'!Zone_d_impression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Adrien Dain</cp:lastModifiedBy>
  <cp:lastPrinted>2024-09-18T20:29:25Z</cp:lastPrinted>
  <dcterms:created xsi:type="dcterms:W3CDTF">2020-05-26T15:54:28Z</dcterms:created>
  <dcterms:modified xsi:type="dcterms:W3CDTF">2025-07-28T15:44:12Z</dcterms:modified>
</cp:coreProperties>
</file>